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2.xml" ContentType="application/vnd.openxmlformats-officedocument.drawing+xml"/>
  <Override PartName="/xl/embeddings/oleObject2.bin" ContentType="application/vnd.openxmlformats-officedocument.oleObject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ина\Desktop\магистратура\3 семестр\Новая папка\"/>
    </mc:Choice>
  </mc:AlternateContent>
  <bookViews>
    <workbookView xWindow="0" yWindow="0" windowWidth="20115" windowHeight="7155" firstSheet="2" activeTab="5"/>
  </bookViews>
  <sheets>
    <sheet name="прямая задача 1" sheetId="6" r:id="rId1"/>
    <sheet name="прямая задача (1)" sheetId="2" r:id="rId2"/>
    <sheet name="прямая задача 2 (2)" sheetId="12" r:id="rId3"/>
    <sheet name="прямая задача 2 (3)" sheetId="13" r:id="rId4"/>
    <sheet name="обратная задача" sheetId="11" r:id="rId5"/>
    <sheet name="сравнит.таблица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D7" i="4"/>
  <c r="C12" i="4"/>
  <c r="B48" i="11"/>
  <c r="B46" i="11"/>
  <c r="B67" i="13"/>
  <c r="B65" i="13"/>
  <c r="B63" i="13"/>
  <c r="A13" i="11"/>
  <c r="I3" i="11"/>
  <c r="I4" i="13"/>
  <c r="I7" i="13" s="1"/>
  <c r="B20" i="2"/>
  <c r="B29" i="11"/>
  <c r="B25" i="11" s="1"/>
  <c r="B22" i="13"/>
  <c r="B22" i="2"/>
  <c r="B10" i="4"/>
  <c r="B67" i="2"/>
  <c r="B65" i="2"/>
  <c r="B63" i="2"/>
  <c r="B6" i="11"/>
  <c r="B50" i="13"/>
  <c r="B35" i="11" s="1"/>
  <c r="B46" i="2"/>
  <c r="B47" i="2" s="1"/>
  <c r="B50" i="2" s="1"/>
  <c r="C36" i="11"/>
  <c r="D36" i="11" s="1"/>
  <c r="D5" i="4"/>
  <c r="B6" i="4"/>
  <c r="B7" i="4"/>
  <c r="C4" i="4"/>
  <c r="B4" i="4"/>
  <c r="B28" i="11"/>
  <c r="B27" i="11"/>
  <c r="B24" i="11"/>
  <c r="B22" i="11"/>
  <c r="B23" i="11" s="1"/>
  <c r="I8" i="2"/>
  <c r="I4" i="11"/>
  <c r="B20" i="13"/>
  <c r="B21" i="13" s="1"/>
  <c r="B4" i="13"/>
  <c r="E9" i="12"/>
  <c r="E8" i="12"/>
  <c r="E7" i="12"/>
  <c r="B31" i="13"/>
  <c r="B30" i="13"/>
  <c r="B29" i="13"/>
  <c r="B26" i="13" s="1"/>
  <c r="B28" i="13"/>
  <c r="B25" i="13"/>
  <c r="B23" i="13"/>
  <c r="B24" i="13" s="1"/>
  <c r="I5" i="13"/>
  <c r="B7" i="13" s="1"/>
  <c r="B37" i="12"/>
  <c r="A20" i="12"/>
  <c r="C20" i="12" s="1"/>
  <c r="C21" i="12" s="1"/>
  <c r="L17" i="12"/>
  <c r="L16" i="12"/>
  <c r="L15" i="12"/>
  <c r="L18" i="12" s="1"/>
  <c r="H11" i="12"/>
  <c r="J10" i="12"/>
  <c r="K10" i="12" s="1"/>
  <c r="K9" i="12"/>
  <c r="J9" i="12"/>
  <c r="J8" i="12"/>
  <c r="K8" i="12" s="1"/>
  <c r="K7" i="12"/>
  <c r="J7" i="12"/>
  <c r="J6" i="12"/>
  <c r="K6" i="12" s="1"/>
  <c r="K11" i="12" s="1"/>
  <c r="K12" i="12" s="1"/>
  <c r="B36" i="12" s="1"/>
  <c r="E6" i="12"/>
  <c r="E10" i="12" s="1"/>
  <c r="E12" i="12" s="1"/>
  <c r="B33" i="12" s="1"/>
  <c r="C51" i="2"/>
  <c r="B27" i="2"/>
  <c r="B31" i="2"/>
  <c r="B30" i="2"/>
  <c r="B25" i="2"/>
  <c r="B28" i="2"/>
  <c r="B23" i="2"/>
  <c r="I7" i="2"/>
  <c r="B37" i="6"/>
  <c r="B36" i="6"/>
  <c r="B33" i="6"/>
  <c r="L17" i="6"/>
  <c r="L16" i="6"/>
  <c r="L15" i="6"/>
  <c r="K12" i="6"/>
  <c r="C21" i="6"/>
  <c r="E10" i="6"/>
  <c r="E12" i="6" s="1"/>
  <c r="I4" i="2"/>
  <c r="I5" i="2"/>
  <c r="E9" i="6"/>
  <c r="E8" i="6"/>
  <c r="E7" i="6"/>
  <c r="E36" i="11" l="1"/>
  <c r="D39" i="11"/>
  <c r="C43" i="11"/>
  <c r="I6" i="11"/>
  <c r="I8" i="13"/>
  <c r="B3" i="13" s="1"/>
  <c r="E43" i="11"/>
  <c r="E39" i="11"/>
  <c r="F36" i="11"/>
  <c r="C39" i="11"/>
  <c r="D43" i="11"/>
  <c r="B26" i="11"/>
  <c r="I22" i="13"/>
  <c r="K22" i="13"/>
  <c r="K25" i="13" s="1"/>
  <c r="E22" i="13"/>
  <c r="E25" i="13" s="1"/>
  <c r="N22" i="13"/>
  <c r="J22" i="13"/>
  <c r="J25" i="13" s="1"/>
  <c r="M22" i="13"/>
  <c r="M25" i="13" s="1"/>
  <c r="M23" i="13"/>
  <c r="I23" i="13"/>
  <c r="E23" i="13"/>
  <c r="N23" i="13"/>
  <c r="B27" i="13"/>
  <c r="L23" i="13"/>
  <c r="H23" i="13"/>
  <c r="F23" i="13"/>
  <c r="K23" i="13"/>
  <c r="G23" i="13"/>
  <c r="J23" i="13"/>
  <c r="C25" i="12"/>
  <c r="C26" i="12"/>
  <c r="B34" i="12"/>
  <c r="C27" i="12"/>
  <c r="L18" i="6"/>
  <c r="B32" i="13" l="1"/>
  <c r="C8" i="4" s="1"/>
  <c r="F43" i="11"/>
  <c r="F39" i="11"/>
  <c r="G36" i="11"/>
  <c r="H22" i="13"/>
  <c r="H25" i="13" s="1"/>
  <c r="F22" i="13"/>
  <c r="G22" i="13"/>
  <c r="G25" i="13" s="1"/>
  <c r="L22" i="13"/>
  <c r="L25" i="13" s="1"/>
  <c r="E20" i="13"/>
  <c r="N25" i="13"/>
  <c r="I25" i="13"/>
  <c r="F25" i="13"/>
  <c r="C28" i="12"/>
  <c r="B35" i="12" s="1"/>
  <c r="B38" i="12" s="1"/>
  <c r="B29" i="2"/>
  <c r="G43" i="11" l="1"/>
  <c r="I43" i="11" s="1"/>
  <c r="G39" i="11"/>
  <c r="I39" i="11" s="1"/>
  <c r="B50" i="11" s="1"/>
  <c r="B5" i="13"/>
  <c r="B8" i="13" s="1"/>
  <c r="B11" i="13" s="1"/>
  <c r="F20" i="13"/>
  <c r="E21" i="13"/>
  <c r="B24" i="2"/>
  <c r="D9" i="4" l="1"/>
  <c r="B52" i="11"/>
  <c r="D10" i="4" s="1"/>
  <c r="G20" i="13"/>
  <c r="F21" i="13"/>
  <c r="B13" i="13"/>
  <c r="B14" i="13" s="1"/>
  <c r="C5" i="4" s="1"/>
  <c r="C51" i="13" l="1"/>
  <c r="C54" i="13" s="1"/>
  <c r="B16" i="13"/>
  <c r="G21" i="13"/>
  <c r="H20" i="13"/>
  <c r="A20" i="6"/>
  <c r="J9" i="6"/>
  <c r="K9" i="6" s="1"/>
  <c r="J10" i="6"/>
  <c r="K10" i="6" s="1"/>
  <c r="J6" i="6"/>
  <c r="H11" i="6"/>
  <c r="B7" i="2" s="1"/>
  <c r="E6" i="6"/>
  <c r="C6" i="4" l="1"/>
  <c r="H21" i="13"/>
  <c r="I20" i="13"/>
  <c r="C58" i="13"/>
  <c r="D51" i="13"/>
  <c r="B52" i="13" l="1"/>
  <c r="B37" i="11"/>
  <c r="E51" i="13"/>
  <c r="D58" i="13"/>
  <c r="D54" i="13"/>
  <c r="J20" i="13"/>
  <c r="I21" i="13"/>
  <c r="B3" i="2"/>
  <c r="B52" i="2"/>
  <c r="C20" i="6"/>
  <c r="C25" i="6" s="1"/>
  <c r="J8" i="6"/>
  <c r="K8" i="6" s="1"/>
  <c r="J7" i="6"/>
  <c r="K7" i="6" s="1"/>
  <c r="K6" i="6"/>
  <c r="K11" i="6" s="1"/>
  <c r="B26" i="2" s="1"/>
  <c r="C37" i="11" l="1"/>
  <c r="D37" i="11" s="1"/>
  <c r="E37" i="11" s="1"/>
  <c r="B40" i="11"/>
  <c r="B55" i="13"/>
  <c r="C52" i="13"/>
  <c r="D52" i="13" s="1"/>
  <c r="J21" i="13"/>
  <c r="K20" i="13"/>
  <c r="E58" i="13"/>
  <c r="E54" i="13"/>
  <c r="F51" i="13"/>
  <c r="E23" i="2"/>
  <c r="B21" i="2"/>
  <c r="E20" i="2"/>
  <c r="B55" i="2"/>
  <c r="C26" i="6"/>
  <c r="C27" i="6"/>
  <c r="B34" i="6"/>
  <c r="F37" i="11" l="1"/>
  <c r="G37" i="11" s="1"/>
  <c r="D13" i="4"/>
  <c r="B32" i="2"/>
  <c r="B8" i="4" s="1"/>
  <c r="E22" i="2"/>
  <c r="E25" i="2" s="1"/>
  <c r="B59" i="13"/>
  <c r="C59" i="13" s="1"/>
  <c r="D59" i="13" s="1"/>
  <c r="E59" i="13" s="1"/>
  <c r="C55" i="13"/>
  <c r="D55" i="13" s="1"/>
  <c r="B44" i="11"/>
  <c r="C44" i="11" s="1"/>
  <c r="D44" i="11" s="1"/>
  <c r="E44" i="11" s="1"/>
  <c r="F44" i="11" s="1"/>
  <c r="G44" i="11" s="1"/>
  <c r="C40" i="11"/>
  <c r="E52" i="13"/>
  <c r="C13" i="4" s="1"/>
  <c r="K21" i="13"/>
  <c r="L20" i="13"/>
  <c r="F58" i="13"/>
  <c r="F54" i="13"/>
  <c r="G51" i="13"/>
  <c r="F20" i="2"/>
  <c r="E21" i="2"/>
  <c r="N22" i="2"/>
  <c r="K22" i="2"/>
  <c r="M22" i="2"/>
  <c r="L22" i="2"/>
  <c r="I22" i="2"/>
  <c r="F22" i="2"/>
  <c r="H22" i="2"/>
  <c r="J22" i="2"/>
  <c r="G22" i="2"/>
  <c r="B59" i="2"/>
  <c r="C28" i="6"/>
  <c r="B35" i="6" s="1"/>
  <c r="B38" i="6" s="1"/>
  <c r="B4" i="2" s="1"/>
  <c r="E40" i="11" l="1"/>
  <c r="D40" i="11"/>
  <c r="F52" i="13"/>
  <c r="F40" i="11"/>
  <c r="G40" i="11" s="1"/>
  <c r="D12" i="4"/>
  <c r="E55" i="13"/>
  <c r="F59" i="13"/>
  <c r="G52" i="13"/>
  <c r="M20" i="13"/>
  <c r="L21" i="13"/>
  <c r="I58" i="13"/>
  <c r="G58" i="13"/>
  <c r="G54" i="13"/>
  <c r="B4" i="11"/>
  <c r="B5" i="11" s="1"/>
  <c r="B7" i="11" s="1"/>
  <c r="B8" i="11" s="1"/>
  <c r="A14" i="11" s="1"/>
  <c r="G20" i="2"/>
  <c r="F21" i="2"/>
  <c r="F55" i="13" l="1"/>
  <c r="G55" i="13" s="1"/>
  <c r="G59" i="13"/>
  <c r="I54" i="13"/>
  <c r="N20" i="13"/>
  <c r="N21" i="13" s="1"/>
  <c r="M21" i="13"/>
  <c r="H20" i="2"/>
  <c r="G21" i="2"/>
  <c r="I23" i="2"/>
  <c r="M23" i="2"/>
  <c r="F23" i="2"/>
  <c r="J23" i="2"/>
  <c r="N23" i="2"/>
  <c r="G23" i="2"/>
  <c r="K23" i="2"/>
  <c r="H23" i="2"/>
  <c r="L23" i="2"/>
  <c r="B69" i="13" l="1"/>
  <c r="C10" i="4" s="1"/>
  <c r="C9" i="4"/>
  <c r="I20" i="2"/>
  <c r="H21" i="2"/>
  <c r="J20" i="2" l="1"/>
  <c r="I21" i="2"/>
  <c r="G25" i="2"/>
  <c r="K25" i="2"/>
  <c r="H25" i="2"/>
  <c r="L25" i="2"/>
  <c r="I25" i="2"/>
  <c r="M25" i="2"/>
  <c r="F25" i="2"/>
  <c r="J25" i="2"/>
  <c r="N25" i="2"/>
  <c r="K20" i="2" l="1"/>
  <c r="J21" i="2"/>
  <c r="B5" i="2"/>
  <c r="B8" i="2" s="1"/>
  <c r="B11" i="2" s="1"/>
  <c r="L20" i="2" l="1"/>
  <c r="K21" i="2"/>
  <c r="B13" i="2"/>
  <c r="B14" i="2" s="1"/>
  <c r="B16" i="2" s="1"/>
  <c r="M20" i="2" l="1"/>
  <c r="L21" i="2"/>
  <c r="B5" i="4"/>
  <c r="N20" i="2" l="1"/>
  <c r="N21" i="2" s="1"/>
  <c r="M21" i="2"/>
  <c r="C58" i="2"/>
  <c r="C54" i="2"/>
  <c r="C52" i="2"/>
  <c r="D51" i="2"/>
  <c r="E51" i="2" l="1"/>
  <c r="D58" i="2"/>
  <c r="D54" i="2"/>
  <c r="C59" i="2"/>
  <c r="D52" i="2"/>
  <c r="C55" i="2"/>
  <c r="D59" i="2" l="1"/>
  <c r="D55" i="2"/>
  <c r="E52" i="2"/>
  <c r="B13" i="4"/>
  <c r="F51" i="2"/>
  <c r="E54" i="2"/>
  <c r="E58" i="2"/>
  <c r="E59" i="2" l="1"/>
  <c r="B12" i="4"/>
  <c r="F52" i="2"/>
  <c r="G51" i="2"/>
  <c r="F54" i="2"/>
  <c r="F58" i="2"/>
  <c r="E55" i="2"/>
  <c r="G52" i="2" l="1"/>
  <c r="F55" i="2"/>
  <c r="F59" i="2"/>
  <c r="G58" i="2"/>
  <c r="I58" i="2" s="1"/>
  <c r="G54" i="2"/>
  <c r="I54" i="2" s="1"/>
  <c r="G59" i="2" l="1"/>
  <c r="B69" i="2"/>
  <c r="B9" i="4"/>
  <c r="G55" i="2"/>
  <c r="I7" i="11"/>
  <c r="D3" i="4" l="1"/>
  <c r="B9" i="11"/>
  <c r="B10" i="11" l="1"/>
  <c r="D4" i="4"/>
  <c r="B11" i="11"/>
  <c r="D6" i="4" s="1"/>
  <c r="B21" i="11"/>
  <c r="B19" i="11" s="1"/>
  <c r="B20" i="11" s="1"/>
  <c r="B31" i="11" s="1"/>
  <c r="D8" i="4" s="1"/>
</calcChain>
</file>

<file path=xl/sharedStrings.xml><?xml version="1.0" encoding="utf-8"?>
<sst xmlns="http://schemas.openxmlformats.org/spreadsheetml/2006/main" count="332" uniqueCount="148">
  <si>
    <t>Таблица 1 - Расчет стоимости материалов</t>
  </si>
  <si>
    <t>Наименование</t>
  </si>
  <si>
    <t>Цена</t>
  </si>
  <si>
    <t>сумма</t>
  </si>
  <si>
    <t>Ед.изм.</t>
  </si>
  <si>
    <t>Кол-во</t>
  </si>
  <si>
    <t>кв.м</t>
  </si>
  <si>
    <t>шт</t>
  </si>
  <si>
    <t>кг</t>
  </si>
  <si>
    <t>ИТОГО</t>
  </si>
  <si>
    <t>ИТОГО за год</t>
  </si>
  <si>
    <t>Таблица 2 - Расчет заработной платы</t>
  </si>
  <si>
    <t>Кол-во работников</t>
  </si>
  <si>
    <t>Среднемесячная зарплата</t>
  </si>
  <si>
    <t>Сумма</t>
  </si>
  <si>
    <t>Таблица 3- Расчет отчислений в фонды</t>
  </si>
  <si>
    <t>% отчислений</t>
  </si>
  <si>
    <t>Социальное страхование</t>
  </si>
  <si>
    <t>Отчисления на обязательное медицинское страхование</t>
  </si>
  <si>
    <t>Наименование отчислений</t>
  </si>
  <si>
    <t>Отчисления в пенсионный фонд</t>
  </si>
  <si>
    <t>Таблица 4 - Расчет амортизационных отчислений</t>
  </si>
  <si>
    <t>Наименование оборудования</t>
  </si>
  <si>
    <t>Годовая норма амортизации, %</t>
  </si>
  <si>
    <t>Сумма амортизации</t>
  </si>
  <si>
    <t>Стоимость оборудования, руб.</t>
  </si>
  <si>
    <t>Срок службы, лет</t>
  </si>
  <si>
    <t xml:space="preserve">Таблица 5 - Расчет затрат на силовую энергию </t>
  </si>
  <si>
    <t xml:space="preserve">коэффициент 
использования мощности </t>
  </si>
  <si>
    <t>время 
работы двигателя, ч.</t>
  </si>
  <si>
    <t>Наименование 
оборудования</t>
  </si>
  <si>
    <t>Наименование затрат</t>
  </si>
  <si>
    <t>Значение, руб.</t>
  </si>
  <si>
    <t>1. Материальные затраты</t>
  </si>
  <si>
    <t>2. Затраты на оплату труда</t>
  </si>
  <si>
    <t>3. Единый социальный налог</t>
  </si>
  <si>
    <t>4. Амортизация основных фондов</t>
  </si>
  <si>
    <t>5. Прочие затраты</t>
  </si>
  <si>
    <t>Всего текущих затрат</t>
  </si>
  <si>
    <t xml:space="preserve">Таблица 7 - Суммарные текущие затраты на весь объем выпуска продукции </t>
  </si>
  <si>
    <t>Таблица 4. Отчет о прибылях и убытках</t>
  </si>
  <si>
    <t>Наименование показателя</t>
  </si>
  <si>
    <t>1. Выручка от реализации продукции</t>
  </si>
  <si>
    <t>2. Затраты на производство</t>
  </si>
  <si>
    <t>3. Прибыль от реализации продукции</t>
  </si>
  <si>
    <t>(строка 1 – строка 2)</t>
  </si>
  <si>
    <t>4. Налоги, относимые на финансовые результаты</t>
  </si>
  <si>
    <t>5. Прибыль без налогов, относимых на финансовые результаты</t>
  </si>
  <si>
    <t>(строка 3 – строка 4)</t>
  </si>
  <si>
    <t>6. Льготы по налогу на прибыль</t>
  </si>
  <si>
    <t>7. Налогооблагаемая прибыль</t>
  </si>
  <si>
    <t>(строка 5 ­– строка 6)</t>
  </si>
  <si>
    <t>8. Налог на прибыль</t>
  </si>
  <si>
    <t>9. Чистая прибыль</t>
  </si>
  <si>
    <t>(строка 7 – строка 8 + строка 6)</t>
  </si>
  <si>
    <t xml:space="preserve">        </t>
  </si>
  <si>
    <t xml:space="preserve">1. Себестоимость единицы продукции </t>
  </si>
  <si>
    <t>2. Налог на имущество</t>
  </si>
  <si>
    <t xml:space="preserve">Размер договорной цены </t>
  </si>
  <si>
    <t>3. Цена на рынке</t>
  </si>
  <si>
    <t>4. Прибыль в расчете на единицу продукции</t>
  </si>
  <si>
    <t>Рентабельность продукции, %</t>
  </si>
  <si>
    <r>
      <t>Стоимость
 электроэнергии, руб./(кВт</t>
    </r>
    <r>
      <rPr>
        <b/>
        <sz val="12"/>
        <color theme="1"/>
        <rFont val="Symbol"/>
        <family val="1"/>
        <charset val="2"/>
      </rPr>
      <t>×</t>
    </r>
    <r>
      <rPr>
        <b/>
        <sz val="12"/>
        <color theme="1"/>
        <rFont val="Times New Roman"/>
        <family val="1"/>
        <charset val="204"/>
      </rPr>
      <t>ч)</t>
    </r>
  </si>
  <si>
    <r>
      <t>потребляемая 
мощность, кВт</t>
    </r>
    <r>
      <rPr>
        <b/>
        <sz val="12"/>
        <color theme="1"/>
        <rFont val="Symbol"/>
        <family val="1"/>
        <charset val="2"/>
      </rPr>
      <t>×</t>
    </r>
    <r>
      <rPr>
        <b/>
        <sz val="12"/>
        <color theme="1"/>
        <rFont val="Times New Roman"/>
        <family val="1"/>
        <charset val="204"/>
      </rPr>
      <t>ч;</t>
    </r>
  </si>
  <si>
    <r>
      <t>Определение точки безубыточности</t>
    </r>
    <r>
      <rPr>
        <sz val="11.5"/>
        <color rgb="FF000000"/>
        <rFont val="Times New Roman"/>
        <family val="1"/>
        <charset val="204"/>
      </rPr>
      <t xml:space="preserve"> </t>
    </r>
  </si>
  <si>
    <t xml:space="preserve">Условно-переменные затраты: </t>
  </si>
  <si>
    <t>- затраты на сырье</t>
  </si>
  <si>
    <t xml:space="preserve"> - затраты на энергию на технологические нужды </t>
  </si>
  <si>
    <t xml:space="preserve">Условно-постоянные затраты: </t>
  </si>
  <si>
    <t xml:space="preserve">- амортизация </t>
  </si>
  <si>
    <t xml:space="preserve">- арендная плата </t>
  </si>
  <si>
    <t xml:space="preserve">Условно-переменные затраты на ед.продукции </t>
  </si>
  <si>
    <t xml:space="preserve">Условно-постоянные затраты на ед.продукции </t>
  </si>
  <si>
    <t>Срок окупаемости инвестиций:</t>
  </si>
  <si>
    <t>Период окупаемости = Первоначальные вложения / Среднегодовые Денежные потоки</t>
  </si>
  <si>
    <t>Оборудование</t>
  </si>
  <si>
    <t>Всего инвестиций</t>
  </si>
  <si>
    <t>ЧДД</t>
  </si>
  <si>
    <t>Таблица. 5. Сравнительная таблица</t>
  </si>
  <si>
    <t>Показатель</t>
  </si>
  <si>
    <t>Обратная задача</t>
  </si>
  <si>
    <t>Объем производства, шт</t>
  </si>
  <si>
    <t>Себестоимость продукции, руб/шт</t>
  </si>
  <si>
    <t>Чистая прибыль, руб</t>
  </si>
  <si>
    <t>Цена за единицу продукции</t>
  </si>
  <si>
    <t>ИД</t>
  </si>
  <si>
    <t>ВНД %</t>
  </si>
  <si>
    <t>Срок окупаемости инвестиций с учетом дисконтирования</t>
  </si>
  <si>
    <t>Срок окупаемости инвестиций без учета дисконтирования</t>
  </si>
  <si>
    <t>Объем прозводства</t>
  </si>
  <si>
    <t>цена ед.прод</t>
  </si>
  <si>
    <t>выручка</t>
  </si>
  <si>
    <t>перем.затраты</t>
  </si>
  <si>
    <t>постоянные затраты</t>
  </si>
  <si>
    <t>общие затраты</t>
  </si>
  <si>
    <t>Исходные данные для построения точки безубыточности графическим способом</t>
  </si>
  <si>
    <t xml:space="preserve">Таблица 6 -  Перечень прочих затрат в составе себестоимости </t>
  </si>
  <si>
    <t xml:space="preserve">ванна для химического травления </t>
  </si>
  <si>
    <t xml:space="preserve">ванна для промывки </t>
  </si>
  <si>
    <t xml:space="preserve">фотолитографическое оборудование </t>
  </si>
  <si>
    <t xml:space="preserve">координатный станок </t>
  </si>
  <si>
    <t xml:space="preserve"> аппарат волновой пайки </t>
  </si>
  <si>
    <t xml:space="preserve">негатив печатной платы для производства всего объема </t>
  </si>
  <si>
    <t xml:space="preserve">металлизированный текстолит </t>
  </si>
  <si>
    <t xml:space="preserve">реактивы </t>
  </si>
  <si>
    <t xml:space="preserve">комплектующие </t>
  </si>
  <si>
    <t>1. Плата за аренду основных средств</t>
  </si>
  <si>
    <t>на ед.продукции, руб.</t>
  </si>
  <si>
    <t>Нематериальные инвестиции 
на подготовку работников на курсах</t>
  </si>
  <si>
    <t>Приобретение патента на изобретение</t>
  </si>
  <si>
    <t>Таблица 1. Отчет о прибылях и убытках</t>
  </si>
  <si>
    <t>1. Чистая прибыль</t>
  </si>
  <si>
    <t>2. Налог на прибыль</t>
  </si>
  <si>
    <t>3. Налогооблагаемая прибыль</t>
  </si>
  <si>
    <t>5. Прибыль без налогов, относимых 
на финансовые результаты</t>
  </si>
  <si>
    <t>6. Прибыль от реализации продукции</t>
  </si>
  <si>
    <t>7. Затраты на производство</t>
  </si>
  <si>
    <t>8. Выручка от реализации продукции</t>
  </si>
  <si>
    <t>расходы по основной зп</t>
  </si>
  <si>
    <t xml:space="preserve"> расходы на зп производственных рабочих</t>
  </si>
  <si>
    <t>ЕСН, 30%</t>
  </si>
  <si>
    <t>Временной интервал</t>
  </si>
  <si>
    <t>Инвестиционные затраты, тыс. руб.</t>
  </si>
  <si>
    <t>Текущий доход от проекта, тыс.руб</t>
  </si>
  <si>
    <t>Кумулятивный денежный поток</t>
  </si>
  <si>
    <t>Дисконтированный текущий доход(Emin)</t>
  </si>
  <si>
    <t>Кумулятивный дисконтированный денежный поток</t>
  </si>
  <si>
    <t>Коэффициент дисконтирования  Emin=10%</t>
  </si>
  <si>
    <t>Коэффициент дисконтирования Emax=19%</t>
  </si>
  <si>
    <t>Дисконтированный текущий доход (Emax)</t>
  </si>
  <si>
    <t>2)  С учетом ставки дисконтирования:</t>
  </si>
  <si>
    <t xml:space="preserve">Прямая задача №1 </t>
  </si>
  <si>
    <t>Прямая задача №2</t>
  </si>
  <si>
    <t>ИТОГО на 511  плат</t>
  </si>
  <si>
    <t>ИТОГО за месяц</t>
  </si>
  <si>
    <t>в месяц</t>
  </si>
  <si>
    <t>Точка безубыточности,шт./мес.</t>
  </si>
  <si>
    <t>ИТОГО на 515  плат</t>
  </si>
  <si>
    <t>шт/мес.</t>
  </si>
  <si>
    <t>Точка безубыточности, шт./мес.</t>
  </si>
  <si>
    <t xml:space="preserve">ПРЯМАЯ ЗАДАЧА №1 </t>
  </si>
  <si>
    <t>ПРЯМАЯ ЗАДАЧА №2</t>
  </si>
  <si>
    <t>3) Чистый дисконтированный доход</t>
  </si>
  <si>
    <t>4)Индекс доходности</t>
  </si>
  <si>
    <t>1) Срок окупаемости Без учета ставки дисконтирования:</t>
  </si>
  <si>
    <t>1)  Срок окупаемости Без учета ставки дисконтирования:</t>
  </si>
  <si>
    <t>4) Индекс доходности</t>
  </si>
  <si>
    <t>1) Срок окупаемости Без учета 
ставки дисконтирования: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</si>
</sst>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5" formatCode="0.000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Symbol"/>
      <family val="1"/>
      <charset val="2"/>
    </font>
    <font>
      <b/>
      <sz val="11.5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2" fontId="9" fillId="0" borderId="1" xfId="0" applyNumberFormat="1" applyFont="1" applyBorder="1"/>
    <xf numFmtId="2" fontId="0" fillId="0" borderId="1" xfId="0" applyNumberFormat="1" applyBorder="1"/>
    <xf numFmtId="0" fontId="9" fillId="0" borderId="1" xfId="0" applyFont="1" applyBorder="1" applyAlignment="1">
      <alignment wrapText="1"/>
    </xf>
    <xf numFmtId="0" fontId="12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3" borderId="1" xfId="0" applyFont="1" applyFill="1" applyBorder="1"/>
    <xf numFmtId="2" fontId="0" fillId="3" borderId="1" xfId="0" applyNumberFormat="1" applyFill="1" applyBorder="1"/>
    <xf numFmtId="0" fontId="9" fillId="0" borderId="0" xfId="0" applyFont="1" applyAlignment="1">
      <alignment horizontal="justify" vertical="center"/>
    </xf>
    <xf numFmtId="0" fontId="0" fillId="0" borderId="1" xfId="0" applyBorder="1" applyAlignment="1">
      <alignment horizontal="right"/>
    </xf>
    <xf numFmtId="0" fontId="10" fillId="0" borderId="0" xfId="0" applyFont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0" fontId="2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5" fillId="0" borderId="10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43" fontId="0" fillId="0" borderId="1" xfId="1" applyFont="1" applyBorder="1" applyAlignment="1">
      <alignment horizontal="center"/>
    </xf>
    <xf numFmtId="43" fontId="2" fillId="0" borderId="1" xfId="1" applyFont="1" applyBorder="1"/>
    <xf numFmtId="0" fontId="15" fillId="0" borderId="1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1" fontId="0" fillId="0" borderId="1" xfId="0" applyNumberFormat="1" applyBorder="1" applyAlignment="1">
      <alignment horizontal="center"/>
    </xf>
    <xf numFmtId="0" fontId="9" fillId="4" borderId="1" xfId="0" applyFont="1" applyFill="1" applyBorder="1" applyAlignment="1">
      <alignment horizontal="right" vertical="center" wrapText="1"/>
    </xf>
    <xf numFmtId="43" fontId="0" fillId="4" borderId="1" xfId="1" applyFont="1" applyFill="1" applyBorder="1"/>
    <xf numFmtId="43" fontId="0" fillId="0" borderId="1" xfId="0" applyNumberFormat="1" applyBorder="1"/>
    <xf numFmtId="166" fontId="0" fillId="0" borderId="1" xfId="0" applyNumberFormat="1" applyBorder="1"/>
    <xf numFmtId="43" fontId="2" fillId="0" borderId="1" xfId="0" applyNumberFormat="1" applyFont="1" applyBorder="1"/>
    <xf numFmtId="0" fontId="9" fillId="0" borderId="1" xfId="0" applyFont="1" applyBorder="1" applyAlignment="1">
      <alignment horizontal="justify" vertical="center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" fontId="0" fillId="0" borderId="0" xfId="0" applyNumberFormat="1"/>
    <xf numFmtId="3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2" fontId="15" fillId="0" borderId="8" xfId="0" applyNumberFormat="1" applyFont="1" applyBorder="1" applyAlignment="1">
      <alignment vertical="center" wrapText="1"/>
    </xf>
    <xf numFmtId="2" fontId="0" fillId="0" borderId="1" xfId="0" applyNumberFormat="1" applyFill="1" applyBorder="1"/>
    <xf numFmtId="43" fontId="9" fillId="0" borderId="0" xfId="0" applyNumberFormat="1" applyFont="1" applyFill="1" applyBorder="1"/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3" fontId="15" fillId="0" borderId="13" xfId="0" applyNumberFormat="1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 wrapText="1"/>
    </xf>
    <xf numFmtId="3" fontId="15" fillId="0" borderId="15" xfId="0" applyNumberFormat="1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3" fontId="15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43" fontId="0" fillId="0" borderId="0" xfId="0" applyNumberFormat="1"/>
    <xf numFmtId="0" fontId="0" fillId="0" borderId="18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2" fontId="9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2" fontId="0" fillId="0" borderId="0" xfId="0" applyNumberFormat="1" applyFill="1" applyBorder="1"/>
    <xf numFmtId="0" fontId="6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3" fontId="0" fillId="3" borderId="0" xfId="0" applyNumberFormat="1" applyFill="1"/>
    <xf numFmtId="43" fontId="15" fillId="0" borderId="8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/>
    <xf numFmtId="43" fontId="0" fillId="0" borderId="0" xfId="0" applyNumberFormat="1" applyFill="1" applyBorder="1"/>
    <xf numFmtId="0" fontId="0" fillId="0" borderId="0" xfId="0" applyFill="1" applyBorder="1"/>
    <xf numFmtId="0" fontId="14" fillId="0" borderId="0" xfId="0" applyFont="1" applyFill="1" applyBorder="1"/>
    <xf numFmtId="43" fontId="18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justify" vertical="center"/>
    </xf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3" fontId="15" fillId="0" borderId="8" xfId="0" applyNumberFormat="1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 wrapText="1"/>
    </xf>
    <xf numFmtId="43" fontId="15" fillId="0" borderId="8" xfId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16" fillId="0" borderId="8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2" fillId="0" borderId="1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3.emf"/><Relationship Id="rId7" Type="http://schemas.openxmlformats.org/officeDocument/2006/relationships/image" Target="../media/image6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8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.w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</xdr:row>
          <xdr:rowOff>57150</xdr:rowOff>
        </xdr:from>
        <xdr:to>
          <xdr:col>3</xdr:col>
          <xdr:colOff>1285875</xdr:colOff>
          <xdr:row>2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533400</xdr:colOff>
          <xdr:row>34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762000</xdr:colOff>
          <xdr:row>34</xdr:row>
          <xdr:rowOff>38100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762000</xdr:colOff>
          <xdr:row>34</xdr:row>
          <xdr:rowOff>38100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762000</xdr:colOff>
          <xdr:row>34</xdr:row>
          <xdr:rowOff>38100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762000</xdr:colOff>
          <xdr:row>34</xdr:row>
          <xdr:rowOff>38100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762000</xdr:colOff>
          <xdr:row>34</xdr:row>
          <xdr:rowOff>38100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762000</xdr:colOff>
          <xdr:row>34</xdr:row>
          <xdr:rowOff>38100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762000</xdr:colOff>
          <xdr:row>34</xdr:row>
          <xdr:rowOff>38100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762000</xdr:colOff>
          <xdr:row>34</xdr:row>
          <xdr:rowOff>38100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762000</xdr:colOff>
          <xdr:row>34</xdr:row>
          <xdr:rowOff>38100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762000</xdr:colOff>
          <xdr:row>34</xdr:row>
          <xdr:rowOff>38100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</xdr:row>
          <xdr:rowOff>57150</xdr:rowOff>
        </xdr:from>
        <xdr:to>
          <xdr:col>3</xdr:col>
          <xdr:colOff>1285875</xdr:colOff>
          <xdr:row>2</xdr:row>
          <xdr:rowOff>95250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533400</xdr:colOff>
          <xdr:row>34</xdr:row>
          <xdr:rowOff>38100</xdr:rowOff>
        </xdr:to>
        <xdr:sp macro="" textlink="">
          <xdr:nvSpPr>
            <xdr:cNvPr id="18434" name="Control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762000</xdr:colOff>
          <xdr:row>34</xdr:row>
          <xdr:rowOff>38100</xdr:rowOff>
        </xdr:to>
        <xdr:sp macro="" textlink="">
          <xdr:nvSpPr>
            <xdr:cNvPr id="18435" name="Control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762000</xdr:colOff>
          <xdr:row>34</xdr:row>
          <xdr:rowOff>38100</xdr:rowOff>
        </xdr:to>
        <xdr:sp macro="" textlink="">
          <xdr:nvSpPr>
            <xdr:cNvPr id="18436" name="Control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762000</xdr:colOff>
          <xdr:row>34</xdr:row>
          <xdr:rowOff>38100</xdr:rowOff>
        </xdr:to>
        <xdr:sp macro="" textlink="">
          <xdr:nvSpPr>
            <xdr:cNvPr id="18437" name="Control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762000</xdr:colOff>
          <xdr:row>34</xdr:row>
          <xdr:rowOff>38100</xdr:rowOff>
        </xdr:to>
        <xdr:sp macro="" textlink="">
          <xdr:nvSpPr>
            <xdr:cNvPr id="18438" name="Control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762000</xdr:colOff>
          <xdr:row>34</xdr:row>
          <xdr:rowOff>38100</xdr:rowOff>
        </xdr:to>
        <xdr:sp macro="" textlink="">
          <xdr:nvSpPr>
            <xdr:cNvPr id="18439" name="Control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762000</xdr:colOff>
          <xdr:row>34</xdr:row>
          <xdr:rowOff>38100</xdr:rowOff>
        </xdr:to>
        <xdr:sp macro="" textlink="">
          <xdr:nvSpPr>
            <xdr:cNvPr id="18440" name="Control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762000</xdr:colOff>
          <xdr:row>34</xdr:row>
          <xdr:rowOff>38100</xdr:rowOff>
        </xdr:to>
        <xdr:sp macro="" textlink="">
          <xdr:nvSpPr>
            <xdr:cNvPr id="18441" name="Control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762000</xdr:colOff>
          <xdr:row>34</xdr:row>
          <xdr:rowOff>38100</xdr:rowOff>
        </xdr:to>
        <xdr:sp macro="" textlink="">
          <xdr:nvSpPr>
            <xdr:cNvPr id="18442" name="Control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0</xdr:rowOff>
        </xdr:from>
        <xdr:to>
          <xdr:col>4</xdr:col>
          <xdr:colOff>762000</xdr:colOff>
          <xdr:row>34</xdr:row>
          <xdr:rowOff>38100</xdr:rowOff>
        </xdr:to>
        <xdr:sp macro="" textlink="">
          <xdr:nvSpPr>
            <xdr:cNvPr id="18443" name="Control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762000</xdr:colOff>
          <xdr:row>34</xdr:row>
          <xdr:rowOff>38100</xdr:rowOff>
        </xdr:to>
        <xdr:sp macro="" textlink="">
          <xdr:nvSpPr>
            <xdr:cNvPr id="18444" name="Control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18" Type="http://schemas.openxmlformats.org/officeDocument/2006/relationships/control" Target="../activeX/activeX7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9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10" Type="http://schemas.openxmlformats.org/officeDocument/2006/relationships/control" Target="../activeX/activeX3.xml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9.emf"/><Relationship Id="rId18" Type="http://schemas.openxmlformats.org/officeDocument/2006/relationships/control" Target="../activeX/activeX20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3.emf"/><Relationship Id="rId7" Type="http://schemas.openxmlformats.org/officeDocument/2006/relationships/image" Target="../media/image8.emf"/><Relationship Id="rId12" Type="http://schemas.openxmlformats.org/officeDocument/2006/relationships/control" Target="../activeX/activeX17.xml"/><Relationship Id="rId17" Type="http://schemas.openxmlformats.org/officeDocument/2006/relationships/image" Target="../media/image1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9.xml"/><Relationship Id="rId20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2.xml"/><Relationship Id="rId11" Type="http://schemas.openxmlformats.org/officeDocument/2006/relationships/control" Target="../activeX/activeX16.xml"/><Relationship Id="rId5" Type="http://schemas.openxmlformats.org/officeDocument/2006/relationships/image" Target="../media/image1.wmf"/><Relationship Id="rId15" Type="http://schemas.openxmlformats.org/officeDocument/2006/relationships/image" Target="../media/image10.emf"/><Relationship Id="rId23" Type="http://schemas.openxmlformats.org/officeDocument/2006/relationships/image" Target="../media/image14.emf"/><Relationship Id="rId10" Type="http://schemas.openxmlformats.org/officeDocument/2006/relationships/control" Target="../activeX/activeX15.xml"/><Relationship Id="rId19" Type="http://schemas.openxmlformats.org/officeDocument/2006/relationships/image" Target="../media/image12.emf"/><Relationship Id="rId4" Type="http://schemas.openxmlformats.org/officeDocument/2006/relationships/oleObject" Target="../embeddings/oleObject2.bin"/><Relationship Id="rId9" Type="http://schemas.openxmlformats.org/officeDocument/2006/relationships/control" Target="../activeX/activeX14.xml"/><Relationship Id="rId14" Type="http://schemas.openxmlformats.org/officeDocument/2006/relationships/control" Target="../activeX/activeX18.xml"/><Relationship Id="rId22" Type="http://schemas.openxmlformats.org/officeDocument/2006/relationships/control" Target="../activeX/activeX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opLeftCell="D28" zoomScale="90" zoomScaleNormal="90" workbookViewId="0">
      <selection activeCell="A32" sqref="A32:B38"/>
    </sheetView>
  </sheetViews>
  <sheetFormatPr defaultRowHeight="15" x14ac:dyDescent="0.25"/>
  <cols>
    <col min="1" max="1" width="40.140625" customWidth="1"/>
    <col min="2" max="2" width="33.85546875" customWidth="1"/>
    <col min="3" max="3" width="12.42578125" customWidth="1"/>
    <col min="4" max="4" width="11.7109375" customWidth="1"/>
    <col min="5" max="5" width="19.85546875" customWidth="1"/>
    <col min="7" max="7" width="34.140625" customWidth="1"/>
    <col min="8" max="8" width="32.85546875" customWidth="1"/>
    <col min="9" max="10" width="16" customWidth="1"/>
    <col min="11" max="11" width="17.85546875" customWidth="1"/>
    <col min="12" max="12" width="17" customWidth="1"/>
  </cols>
  <sheetData>
    <row r="2" spans="1:16" ht="21" x14ac:dyDescent="0.35">
      <c r="A2" s="36" t="s">
        <v>140</v>
      </c>
    </row>
    <row r="4" spans="1:16" x14ac:dyDescent="0.25">
      <c r="A4" t="s">
        <v>0</v>
      </c>
      <c r="G4" t="s">
        <v>21</v>
      </c>
    </row>
    <row r="5" spans="1:16" ht="43.5" customHeight="1" x14ac:dyDescent="0.25">
      <c r="A5" s="6" t="s">
        <v>1</v>
      </c>
      <c r="B5" s="6" t="s">
        <v>4</v>
      </c>
      <c r="C5" s="6" t="s">
        <v>2</v>
      </c>
      <c r="D5" s="6" t="s">
        <v>5</v>
      </c>
      <c r="E5" s="6" t="s">
        <v>3</v>
      </c>
      <c r="G5" s="9" t="s">
        <v>22</v>
      </c>
      <c r="H5" s="9" t="s">
        <v>25</v>
      </c>
      <c r="I5" s="9" t="s">
        <v>26</v>
      </c>
      <c r="J5" s="9" t="s">
        <v>23</v>
      </c>
      <c r="K5" s="9" t="s">
        <v>24</v>
      </c>
      <c r="M5" s="5"/>
      <c r="N5" s="5"/>
      <c r="O5" s="5"/>
      <c r="P5" s="5"/>
    </row>
    <row r="6" spans="1:16" ht="33" customHeight="1" x14ac:dyDescent="0.25">
      <c r="A6" s="41" t="s">
        <v>102</v>
      </c>
      <c r="B6" s="3" t="s">
        <v>6</v>
      </c>
      <c r="C6" s="3">
        <v>600</v>
      </c>
      <c r="D6" s="3">
        <v>1</v>
      </c>
      <c r="E6" s="42">
        <f>C6*D6</f>
        <v>600</v>
      </c>
      <c r="G6" s="40" t="s">
        <v>97</v>
      </c>
      <c r="H6" s="3">
        <v>8000</v>
      </c>
      <c r="I6" s="3">
        <v>5</v>
      </c>
      <c r="J6" s="3">
        <f>1/I6*100</f>
        <v>20</v>
      </c>
      <c r="K6" s="3">
        <f>H6*J6/100</f>
        <v>1600</v>
      </c>
      <c r="M6" s="5"/>
      <c r="N6" s="5"/>
      <c r="O6" s="5"/>
      <c r="P6" s="5"/>
    </row>
    <row r="7" spans="1:16" x14ac:dyDescent="0.25">
      <c r="A7" s="40" t="s">
        <v>103</v>
      </c>
      <c r="B7" s="3" t="s">
        <v>7</v>
      </c>
      <c r="C7" s="3">
        <v>450</v>
      </c>
      <c r="D7" s="3">
        <v>1</v>
      </c>
      <c r="E7" s="42">
        <f>C7*D7*511</f>
        <v>229950</v>
      </c>
      <c r="G7" s="40" t="s">
        <v>98</v>
      </c>
      <c r="H7" s="3">
        <v>4200</v>
      </c>
      <c r="I7" s="3">
        <v>10</v>
      </c>
      <c r="J7" s="10">
        <f t="shared" ref="J7:J10" si="0">1/I7*100</f>
        <v>10</v>
      </c>
      <c r="K7" s="10">
        <f>H7*J7/100</f>
        <v>420</v>
      </c>
      <c r="M7" s="5"/>
      <c r="N7" s="5"/>
      <c r="O7" s="5"/>
      <c r="P7" s="5"/>
    </row>
    <row r="8" spans="1:16" x14ac:dyDescent="0.25">
      <c r="A8" s="40" t="s">
        <v>104</v>
      </c>
      <c r="B8" s="3" t="s">
        <v>8</v>
      </c>
      <c r="C8" s="3">
        <v>360</v>
      </c>
      <c r="D8" s="3">
        <v>12.775</v>
      </c>
      <c r="E8" s="42">
        <f>C8*D8*511</f>
        <v>2350089</v>
      </c>
      <c r="G8" s="40" t="s">
        <v>99</v>
      </c>
      <c r="H8" s="3">
        <v>16000</v>
      </c>
      <c r="I8" s="3">
        <v>4</v>
      </c>
      <c r="J8" s="3">
        <f t="shared" si="0"/>
        <v>25</v>
      </c>
      <c r="K8" s="3">
        <f>H8*J8/100</f>
        <v>4000</v>
      </c>
      <c r="M8" s="5"/>
      <c r="N8" s="5"/>
      <c r="O8" s="5"/>
      <c r="P8" s="5"/>
    </row>
    <row r="9" spans="1:16" x14ac:dyDescent="0.25">
      <c r="A9" s="40" t="s">
        <v>105</v>
      </c>
      <c r="B9" s="3" t="s">
        <v>7</v>
      </c>
      <c r="C9" s="3">
        <v>1000</v>
      </c>
      <c r="D9" s="3">
        <v>1</v>
      </c>
      <c r="E9" s="42">
        <f>C9*D9*511</f>
        <v>511000</v>
      </c>
      <c r="G9" s="40" t="s">
        <v>100</v>
      </c>
      <c r="H9" s="3">
        <v>29000</v>
      </c>
      <c r="I9" s="3">
        <v>10</v>
      </c>
      <c r="J9" s="3">
        <f>1/I9*100</f>
        <v>10</v>
      </c>
      <c r="K9" s="3">
        <f t="shared" ref="K9:K10" si="1">H9*J9/100</f>
        <v>2900</v>
      </c>
      <c r="M9" s="5"/>
      <c r="N9" s="5"/>
      <c r="O9" s="5"/>
      <c r="P9" s="5"/>
    </row>
    <row r="10" spans="1:16" x14ac:dyDescent="0.25">
      <c r="A10" s="71" t="s">
        <v>133</v>
      </c>
      <c r="B10" s="71"/>
      <c r="C10" s="71"/>
      <c r="D10" s="71"/>
      <c r="E10" s="43">
        <f>SUM(E6:E9)</f>
        <v>3091639</v>
      </c>
      <c r="G10" s="40" t="s">
        <v>101</v>
      </c>
      <c r="H10" s="3">
        <v>24000</v>
      </c>
      <c r="I10" s="3">
        <v>3</v>
      </c>
      <c r="J10" s="10">
        <f t="shared" si="0"/>
        <v>33.333333333333329</v>
      </c>
      <c r="K10" s="3">
        <f t="shared" si="1"/>
        <v>7999.9999999999991</v>
      </c>
      <c r="M10" s="5"/>
      <c r="N10" s="5"/>
      <c r="O10" s="5"/>
      <c r="P10" s="5"/>
    </row>
    <row r="11" spans="1:16" x14ac:dyDescent="0.25">
      <c r="A11" s="72"/>
      <c r="B11" s="73"/>
      <c r="C11" s="73"/>
      <c r="D11" s="74"/>
      <c r="E11" s="43"/>
      <c r="G11" s="2" t="s">
        <v>9</v>
      </c>
      <c r="H11" s="3">
        <f>SUM(H6:H10)</f>
        <v>81200</v>
      </c>
      <c r="I11" s="1"/>
      <c r="J11" s="1"/>
      <c r="K11" s="11">
        <f>SUM(K6:K10)</f>
        <v>16920</v>
      </c>
      <c r="M11" s="5"/>
      <c r="N11" s="5"/>
      <c r="O11" s="5"/>
      <c r="P11" s="5"/>
    </row>
    <row r="12" spans="1:16" x14ac:dyDescent="0.25">
      <c r="A12" s="75" t="s">
        <v>134</v>
      </c>
      <c r="B12" s="76"/>
      <c r="C12" s="76"/>
      <c r="D12" s="77"/>
      <c r="E12" s="43">
        <f>E10*22</f>
        <v>68016058</v>
      </c>
      <c r="H12" s="5"/>
      <c r="I12" s="5"/>
      <c r="J12" s="5" t="s">
        <v>135</v>
      </c>
      <c r="K12" s="107">
        <f>K11/12</f>
        <v>1410</v>
      </c>
      <c r="L12" s="5"/>
      <c r="M12" s="5"/>
      <c r="N12" s="5"/>
      <c r="O12" s="5"/>
      <c r="P12" s="5"/>
    </row>
    <row r="13" spans="1:16" ht="30" customHeight="1" x14ac:dyDescent="0.25">
      <c r="G13" s="12" t="s">
        <v>27</v>
      </c>
      <c r="I13" s="5"/>
      <c r="J13" s="5"/>
      <c r="K13" s="5"/>
      <c r="L13" s="5"/>
      <c r="M13" s="5"/>
      <c r="N13" s="5"/>
      <c r="O13" s="5"/>
      <c r="P13" s="5"/>
    </row>
    <row r="14" spans="1:16" ht="45.75" x14ac:dyDescent="0.25">
      <c r="G14" s="9" t="s">
        <v>30</v>
      </c>
      <c r="H14" s="9" t="s">
        <v>62</v>
      </c>
      <c r="I14" s="9" t="s">
        <v>63</v>
      </c>
      <c r="J14" s="9" t="s">
        <v>28</v>
      </c>
      <c r="K14" s="9" t="s">
        <v>29</v>
      </c>
      <c r="L14" s="9" t="s">
        <v>14</v>
      </c>
      <c r="M14" s="5"/>
      <c r="N14" s="5"/>
      <c r="O14" s="5"/>
      <c r="P14" s="5"/>
    </row>
    <row r="15" spans="1:16" ht="51.75" customHeight="1" x14ac:dyDescent="0.25">
      <c r="G15" s="40" t="s">
        <v>99</v>
      </c>
      <c r="H15" s="44">
        <v>0.78</v>
      </c>
      <c r="I15" s="3">
        <v>3</v>
      </c>
      <c r="J15" s="3">
        <v>0.8</v>
      </c>
      <c r="K15" s="3">
        <v>16</v>
      </c>
      <c r="L15" s="1">
        <f>I15*H15*J15*K15*22</f>
        <v>658.94399999999996</v>
      </c>
      <c r="M15" s="5"/>
      <c r="N15" s="5"/>
      <c r="O15" s="5"/>
      <c r="P15" s="5"/>
    </row>
    <row r="16" spans="1:16" x14ac:dyDescent="0.25">
      <c r="G16" s="40" t="s">
        <v>100</v>
      </c>
      <c r="H16" s="44">
        <v>0.78</v>
      </c>
      <c r="I16" s="3">
        <v>1</v>
      </c>
      <c r="J16" s="3">
        <v>0.8</v>
      </c>
      <c r="K16" s="3">
        <v>16</v>
      </c>
      <c r="L16" s="1">
        <f>I16*H16*J16*K16*22</f>
        <v>219.64800000000002</v>
      </c>
      <c r="M16" s="5"/>
      <c r="N16" s="5"/>
      <c r="O16" s="5"/>
      <c r="P16" s="5"/>
    </row>
    <row r="17" spans="1:16" x14ac:dyDescent="0.25">
      <c r="G17" s="40" t="s">
        <v>101</v>
      </c>
      <c r="H17" s="44">
        <v>0.78</v>
      </c>
      <c r="I17" s="3">
        <v>10</v>
      </c>
      <c r="J17" s="3">
        <v>0.8</v>
      </c>
      <c r="K17" s="3">
        <v>16</v>
      </c>
      <c r="L17" s="1">
        <f>I17*H17*J17*K17*22</f>
        <v>2196.4800000000005</v>
      </c>
      <c r="M17" s="5"/>
      <c r="N17" s="5"/>
      <c r="O17" s="5"/>
      <c r="P17" s="5"/>
    </row>
    <row r="18" spans="1:16" x14ac:dyDescent="0.25">
      <c r="A18" t="s">
        <v>11</v>
      </c>
      <c r="G18" s="1" t="s">
        <v>9</v>
      </c>
      <c r="H18" s="1"/>
      <c r="I18" s="1"/>
      <c r="J18" s="1"/>
      <c r="K18" s="1"/>
      <c r="L18" s="2">
        <f>SUM(L15:L17)</f>
        <v>3075.0720000000006</v>
      </c>
    </row>
    <row r="19" spans="1:16" ht="39" customHeight="1" x14ac:dyDescent="0.25">
      <c r="A19" s="7" t="s">
        <v>12</v>
      </c>
      <c r="B19" s="8" t="s">
        <v>13</v>
      </c>
      <c r="C19" s="7" t="s">
        <v>14</v>
      </c>
      <c r="D19" s="5"/>
      <c r="E19" s="5"/>
      <c r="G19" s="143"/>
      <c r="H19" s="143"/>
      <c r="I19" s="5"/>
      <c r="J19" s="5"/>
      <c r="K19" s="5"/>
      <c r="L19" s="5"/>
    </row>
    <row r="20" spans="1:16" x14ac:dyDescent="0.25">
      <c r="A20" s="3">
        <f>5+11</f>
        <v>16</v>
      </c>
      <c r="B20" s="3">
        <v>6300</v>
      </c>
      <c r="C20" s="3">
        <f>B20*A20</f>
        <v>100800</v>
      </c>
      <c r="D20" s="5"/>
      <c r="E20" s="5"/>
      <c r="G20" s="5"/>
      <c r="H20" s="5"/>
      <c r="I20" s="5"/>
      <c r="J20" s="5"/>
      <c r="K20" s="5"/>
      <c r="L20" s="5"/>
    </row>
    <row r="21" spans="1:16" x14ac:dyDescent="0.25">
      <c r="A21" s="75" t="s">
        <v>10</v>
      </c>
      <c r="B21" s="77"/>
      <c r="C21" s="2">
        <f>C20</f>
        <v>100800</v>
      </c>
      <c r="D21" s="5"/>
      <c r="E21" s="5"/>
      <c r="G21" s="5"/>
      <c r="H21" s="5"/>
      <c r="I21" s="5"/>
      <c r="J21" s="5"/>
      <c r="K21" s="5"/>
      <c r="L21" s="5"/>
    </row>
    <row r="22" spans="1:16" ht="15.75" x14ac:dyDescent="0.25">
      <c r="A22" s="5"/>
      <c r="B22" s="5"/>
      <c r="C22" s="5"/>
      <c r="D22" s="5"/>
      <c r="E22" s="5"/>
      <c r="G22" s="13" t="s">
        <v>96</v>
      </c>
      <c r="I22" s="5"/>
      <c r="J22" s="5"/>
      <c r="K22" s="5"/>
      <c r="L22" s="5"/>
    </row>
    <row r="23" spans="1:16" x14ac:dyDescent="0.25">
      <c r="A23" s="5" t="s">
        <v>15</v>
      </c>
      <c r="B23" s="5"/>
      <c r="C23" s="5"/>
      <c r="D23" s="5"/>
      <c r="E23" s="5"/>
      <c r="G23" s="9" t="s">
        <v>31</v>
      </c>
      <c r="H23" s="9" t="s">
        <v>32</v>
      </c>
      <c r="I23" s="5"/>
      <c r="J23" s="5"/>
      <c r="K23" s="5"/>
      <c r="L23" s="5"/>
    </row>
    <row r="24" spans="1:16" ht="31.5" x14ac:dyDescent="0.25">
      <c r="A24" s="9" t="s">
        <v>19</v>
      </c>
      <c r="B24" s="6" t="s">
        <v>16</v>
      </c>
      <c r="C24" s="6" t="s">
        <v>14</v>
      </c>
      <c r="D24" s="5"/>
      <c r="E24" s="5"/>
      <c r="G24" s="14" t="s">
        <v>106</v>
      </c>
      <c r="H24" s="15">
        <v>5000</v>
      </c>
      <c r="I24" s="5"/>
      <c r="J24" s="5"/>
      <c r="K24" s="5"/>
      <c r="L24" s="5"/>
    </row>
    <row r="25" spans="1:16" x14ac:dyDescent="0.25">
      <c r="A25" s="4" t="s">
        <v>20</v>
      </c>
      <c r="B25" s="3">
        <v>22</v>
      </c>
      <c r="C25" s="3">
        <f>C21*B25/100</f>
        <v>22176</v>
      </c>
      <c r="G25" s="130"/>
      <c r="H25" s="131"/>
      <c r="I25" s="5"/>
      <c r="J25" s="5"/>
      <c r="K25" s="5"/>
      <c r="L25" s="5"/>
    </row>
    <row r="26" spans="1:16" x14ac:dyDescent="0.25">
      <c r="A26" s="4" t="s">
        <v>17</v>
      </c>
      <c r="B26" s="3">
        <v>2.9</v>
      </c>
      <c r="C26" s="3">
        <f>C21*B26/100</f>
        <v>2923.2</v>
      </c>
      <c r="G26" s="130"/>
      <c r="H26" s="132"/>
    </row>
    <row r="27" spans="1:16" ht="30" x14ac:dyDescent="0.25">
      <c r="A27" s="4" t="s">
        <v>18</v>
      </c>
      <c r="B27" s="3">
        <v>5.0999999999999996</v>
      </c>
      <c r="C27" s="3">
        <f>C21*B27/100</f>
        <v>5140.7999999999993</v>
      </c>
    </row>
    <row r="28" spans="1:16" x14ac:dyDescent="0.25">
      <c r="A28" s="2" t="s">
        <v>9</v>
      </c>
      <c r="B28" s="1"/>
      <c r="C28" s="2">
        <f>SUM(C25:C27)</f>
        <v>30240</v>
      </c>
    </row>
    <row r="31" spans="1:16" ht="15.75" x14ac:dyDescent="0.25">
      <c r="A31" s="13" t="s">
        <v>39</v>
      </c>
      <c r="B31" s="13"/>
      <c r="C31" s="13"/>
      <c r="D31" s="13"/>
    </row>
    <row r="32" spans="1:16" x14ac:dyDescent="0.25">
      <c r="A32" s="9" t="s">
        <v>31</v>
      </c>
      <c r="B32" s="9" t="s">
        <v>32</v>
      </c>
    </row>
    <row r="33" spans="1:2" ht="28.5" customHeight="1" x14ac:dyDescent="0.25">
      <c r="A33" s="16" t="s">
        <v>33</v>
      </c>
      <c r="B33" s="45">
        <f>'прямая задача 1'!E12+L18</f>
        <v>68019133.071999997</v>
      </c>
    </row>
    <row r="34" spans="1:2" ht="29.25" customHeight="1" x14ac:dyDescent="0.25">
      <c r="A34" s="16" t="s">
        <v>34</v>
      </c>
      <c r="B34" s="46">
        <f>C21</f>
        <v>100800</v>
      </c>
    </row>
    <row r="35" spans="1:2" ht="23.25" customHeight="1" x14ac:dyDescent="0.25">
      <c r="A35" s="16" t="s">
        <v>35</v>
      </c>
      <c r="B35" s="46">
        <f>C28</f>
        <v>30240</v>
      </c>
    </row>
    <row r="36" spans="1:2" ht="15.75" x14ac:dyDescent="0.25">
      <c r="A36" s="16" t="s">
        <v>36</v>
      </c>
      <c r="B36" s="46">
        <f>K12</f>
        <v>1410</v>
      </c>
    </row>
    <row r="37" spans="1:2" ht="15.75" x14ac:dyDescent="0.25">
      <c r="A37" s="16" t="s">
        <v>37</v>
      </c>
      <c r="B37" s="46">
        <f>H24</f>
        <v>5000</v>
      </c>
    </row>
    <row r="38" spans="1:2" ht="15.75" x14ac:dyDescent="0.25">
      <c r="A38" s="17" t="s">
        <v>38</v>
      </c>
      <c r="B38" s="47">
        <f>SUM(B33:B37)</f>
        <v>68156583.071999997</v>
      </c>
    </row>
    <row r="39" spans="1:2" x14ac:dyDescent="0.25">
      <c r="B39" s="48"/>
    </row>
    <row r="42" spans="1:2" x14ac:dyDescent="0.25">
      <c r="A42" s="106"/>
    </row>
  </sheetData>
  <mergeCells count="6">
    <mergeCell ref="A10:D10"/>
    <mergeCell ref="A11:D11"/>
    <mergeCell ref="A12:D12"/>
    <mergeCell ref="G25:G26"/>
    <mergeCell ref="G19:H19"/>
    <mergeCell ref="A21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N76"/>
  <sheetViews>
    <sheetView topLeftCell="C1" workbookViewId="0">
      <selection activeCell="C63" sqref="C63"/>
    </sheetView>
  </sheetViews>
  <sheetFormatPr defaultRowHeight="15" x14ac:dyDescent="0.25"/>
  <cols>
    <col min="1" max="1" width="39.85546875" customWidth="1"/>
    <col min="2" max="2" width="18.5703125" customWidth="1"/>
    <col min="3" max="3" width="17" customWidth="1"/>
    <col min="4" max="4" width="19.85546875" customWidth="1"/>
    <col min="5" max="5" width="29" customWidth="1"/>
    <col min="6" max="6" width="21.140625" customWidth="1"/>
    <col min="7" max="7" width="13.5703125" customWidth="1"/>
    <col min="8" max="8" width="10.42578125" customWidth="1"/>
    <col min="9" max="9" width="17.140625" customWidth="1"/>
    <col min="10" max="10" width="10.5703125" customWidth="1"/>
    <col min="11" max="12" width="10.85546875" customWidth="1"/>
    <col min="13" max="13" width="10.42578125" customWidth="1"/>
    <col min="14" max="14" width="11.42578125" customWidth="1"/>
  </cols>
  <sheetData>
    <row r="1" spans="1:9" x14ac:dyDescent="0.25">
      <c r="A1" s="91" t="s">
        <v>40</v>
      </c>
      <c r="B1" s="91"/>
    </row>
    <row r="2" spans="1:9" x14ac:dyDescent="0.25">
      <c r="A2" s="19" t="s">
        <v>41</v>
      </c>
      <c r="B2" s="19" t="s">
        <v>32</v>
      </c>
      <c r="E2" s="20" t="s">
        <v>55</v>
      </c>
    </row>
    <row r="3" spans="1:9" ht="30.75" customHeight="1" x14ac:dyDescent="0.25">
      <c r="A3" s="21" t="s">
        <v>42</v>
      </c>
      <c r="B3" s="49">
        <f>511*I8*22</f>
        <v>96915279.999999985</v>
      </c>
      <c r="E3" s="98" t="s">
        <v>41</v>
      </c>
      <c r="F3" s="99"/>
      <c r="G3" s="99"/>
      <c r="H3" s="100"/>
      <c r="I3" s="19" t="s">
        <v>107</v>
      </c>
    </row>
    <row r="4" spans="1:9" ht="22.5" customHeight="1" x14ac:dyDescent="0.25">
      <c r="A4" s="21" t="s">
        <v>43</v>
      </c>
      <c r="B4" s="49">
        <f>'прямая задача 1'!B38</f>
        <v>68156583.071999997</v>
      </c>
      <c r="E4" s="101" t="s">
        <v>56</v>
      </c>
      <c r="F4" s="102"/>
      <c r="G4" s="102"/>
      <c r="H4" s="103"/>
      <c r="I4" s="22">
        <f>'прямая задача 1'!E7/511+'прямая задача 1'!E8/511+'прямая задача 1'!E9/511+'прямая задача 1'!E6/511</f>
        <v>6050.1741682974562</v>
      </c>
    </row>
    <row r="5" spans="1:9" ht="20.25" customHeight="1" x14ac:dyDescent="0.25">
      <c r="A5" s="21" t="s">
        <v>44</v>
      </c>
      <c r="B5" s="23">
        <f>B3-B4</f>
        <v>28758696.927999988</v>
      </c>
      <c r="E5" s="92" t="s">
        <v>57</v>
      </c>
      <c r="F5" s="93"/>
      <c r="G5" s="93"/>
      <c r="H5" s="94"/>
      <c r="I5" s="23">
        <f>0.02*('прямая задача 1'!H11)/511</f>
        <v>3.1780821917808217</v>
      </c>
    </row>
    <row r="6" spans="1:9" ht="20.25" customHeight="1" x14ac:dyDescent="0.25">
      <c r="A6" s="21" t="s">
        <v>45</v>
      </c>
      <c r="B6" s="23"/>
      <c r="E6" s="92" t="s">
        <v>59</v>
      </c>
      <c r="F6" s="93"/>
      <c r="G6" s="93"/>
      <c r="H6" s="94"/>
      <c r="I6" s="23">
        <v>7000</v>
      </c>
    </row>
    <row r="7" spans="1:9" ht="33" customHeight="1" x14ac:dyDescent="0.25">
      <c r="A7" s="24" t="s">
        <v>46</v>
      </c>
      <c r="B7" s="23">
        <f>I5*511</f>
        <v>1624</v>
      </c>
      <c r="E7" s="95" t="s">
        <v>60</v>
      </c>
      <c r="F7" s="96"/>
      <c r="G7" s="96"/>
      <c r="H7" s="97"/>
      <c r="I7" s="23">
        <f>I6-I4-I5</f>
        <v>946.64774951076299</v>
      </c>
    </row>
    <row r="8" spans="1:9" x14ac:dyDescent="0.25">
      <c r="A8" s="21" t="s">
        <v>47</v>
      </c>
      <c r="B8" s="23">
        <f>B5-B7</f>
        <v>28757072.927999988</v>
      </c>
      <c r="E8" s="104" t="s">
        <v>58</v>
      </c>
      <c r="F8" s="104"/>
      <c r="G8" s="104"/>
      <c r="H8" s="104"/>
      <c r="I8" s="66">
        <f>I7+B7+I4</f>
        <v>8620.8219178082181</v>
      </c>
    </row>
    <row r="9" spans="1:9" x14ac:dyDescent="0.25">
      <c r="A9" s="21" t="s">
        <v>48</v>
      </c>
      <c r="B9" s="1"/>
    </row>
    <row r="10" spans="1:9" ht="15" customHeight="1" x14ac:dyDescent="0.25">
      <c r="A10" s="21" t="s">
        <v>49</v>
      </c>
      <c r="B10" s="1">
        <v>0</v>
      </c>
    </row>
    <row r="11" spans="1:9" ht="15" customHeight="1" x14ac:dyDescent="0.25">
      <c r="A11" s="21" t="s">
        <v>50</v>
      </c>
      <c r="B11" s="23">
        <f>B8-B10</f>
        <v>28757072.927999988</v>
      </c>
    </row>
    <row r="12" spans="1:9" ht="15" customHeight="1" x14ac:dyDescent="0.25">
      <c r="A12" s="21" t="s">
        <v>51</v>
      </c>
      <c r="B12" s="1"/>
    </row>
    <row r="13" spans="1:9" ht="15" customHeight="1" x14ac:dyDescent="0.25">
      <c r="A13" s="21" t="s">
        <v>52</v>
      </c>
      <c r="B13" s="1">
        <f>B11*0.2</f>
        <v>5751414.585599998</v>
      </c>
    </row>
    <row r="14" spans="1:9" ht="15" customHeight="1" x14ac:dyDescent="0.25">
      <c r="A14" s="21" t="s">
        <v>53</v>
      </c>
      <c r="B14" s="49">
        <f>B11-B13+B10</f>
        <v>23005658.342399992</v>
      </c>
    </row>
    <row r="15" spans="1:9" ht="15" customHeight="1" x14ac:dyDescent="0.25">
      <c r="A15" s="21" t="s">
        <v>54</v>
      </c>
      <c r="B15" s="1"/>
    </row>
    <row r="16" spans="1:9" ht="15" customHeight="1" x14ac:dyDescent="0.25">
      <c r="A16" s="21" t="s">
        <v>61</v>
      </c>
      <c r="B16" s="23">
        <f>B14/B4*100</f>
        <v>33.754125141656566</v>
      </c>
    </row>
    <row r="17" spans="1:14" ht="18.75" x14ac:dyDescent="0.25">
      <c r="A17" s="18"/>
    </row>
    <row r="18" spans="1:14" x14ac:dyDescent="0.25">
      <c r="A18" s="25" t="s">
        <v>64</v>
      </c>
      <c r="D18" s="33" t="s">
        <v>95</v>
      </c>
    </row>
    <row r="19" spans="1:14" x14ac:dyDescent="0.25">
      <c r="A19" s="19" t="s">
        <v>41</v>
      </c>
      <c r="B19" s="19" t="s">
        <v>32</v>
      </c>
      <c r="D19" s="1" t="s">
        <v>89</v>
      </c>
      <c r="E19" s="3">
        <v>20</v>
      </c>
      <c r="F19" s="3">
        <v>21</v>
      </c>
      <c r="G19" s="3">
        <v>22</v>
      </c>
      <c r="H19" s="3">
        <v>23</v>
      </c>
      <c r="I19" s="3">
        <v>24</v>
      </c>
      <c r="J19" s="3">
        <v>25</v>
      </c>
      <c r="K19" s="3">
        <v>26</v>
      </c>
      <c r="L19" s="3">
        <v>27</v>
      </c>
      <c r="M19" s="3">
        <v>28</v>
      </c>
      <c r="N19" s="3">
        <v>29</v>
      </c>
    </row>
    <row r="20" spans="1:14" x14ac:dyDescent="0.25">
      <c r="A20" s="26" t="s">
        <v>65</v>
      </c>
      <c r="B20" s="23">
        <f>SUM(B22:B25)</f>
        <v>68101033.071999997</v>
      </c>
      <c r="D20" s="1" t="s">
        <v>90</v>
      </c>
      <c r="E20" s="50">
        <f>I8</f>
        <v>8620.8219178082181</v>
      </c>
      <c r="F20" s="50">
        <f>E20</f>
        <v>8620.8219178082181</v>
      </c>
      <c r="G20" s="50">
        <f t="shared" ref="G20:N20" si="0">F20</f>
        <v>8620.8219178082181</v>
      </c>
      <c r="H20" s="50">
        <f t="shared" si="0"/>
        <v>8620.8219178082181</v>
      </c>
      <c r="I20" s="50">
        <f t="shared" si="0"/>
        <v>8620.8219178082181</v>
      </c>
      <c r="J20" s="50">
        <f t="shared" si="0"/>
        <v>8620.8219178082181</v>
      </c>
      <c r="K20" s="50">
        <f t="shared" si="0"/>
        <v>8620.8219178082181</v>
      </c>
      <c r="L20" s="50">
        <f t="shared" si="0"/>
        <v>8620.8219178082181</v>
      </c>
      <c r="M20" s="50">
        <f t="shared" si="0"/>
        <v>8620.8219178082181</v>
      </c>
      <c r="N20" s="50">
        <f t="shared" si="0"/>
        <v>8620.8219178082181</v>
      </c>
    </row>
    <row r="21" spans="1:14" ht="28.5" x14ac:dyDescent="0.25">
      <c r="A21" s="26" t="s">
        <v>71</v>
      </c>
      <c r="B21" s="23">
        <f>B20/(511*22)</f>
        <v>6057.7328831168825</v>
      </c>
      <c r="D21" s="1" t="s">
        <v>91</v>
      </c>
      <c r="E21" s="50">
        <f>E19*E20</f>
        <v>172416.43835616438</v>
      </c>
      <c r="F21" s="50">
        <f t="shared" ref="F21:N21" si="1">F19*F20</f>
        <v>181037.26027397258</v>
      </c>
      <c r="G21" s="50">
        <f t="shared" si="1"/>
        <v>189658.08219178079</v>
      </c>
      <c r="H21" s="50">
        <f t="shared" si="1"/>
        <v>198278.90410958903</v>
      </c>
      <c r="I21" s="50">
        <f t="shared" si="1"/>
        <v>206899.72602739724</v>
      </c>
      <c r="J21" s="50">
        <f t="shared" si="1"/>
        <v>215520.54794520544</v>
      </c>
      <c r="K21" s="50">
        <f t="shared" si="1"/>
        <v>224141.36986301368</v>
      </c>
      <c r="L21" s="50">
        <f t="shared" si="1"/>
        <v>232762.19178082189</v>
      </c>
      <c r="M21" s="50">
        <f t="shared" si="1"/>
        <v>241383.01369863009</v>
      </c>
      <c r="N21" s="50">
        <f t="shared" si="1"/>
        <v>250003.83561643833</v>
      </c>
    </row>
    <row r="22" spans="1:14" x14ac:dyDescent="0.25">
      <c r="A22" s="21" t="s">
        <v>66</v>
      </c>
      <c r="B22" s="23">
        <f>'прямая задача 1'!E12</f>
        <v>68016058</v>
      </c>
      <c r="D22" s="1" t="s">
        <v>92</v>
      </c>
      <c r="E22" s="50">
        <f>$B$21*E19</f>
        <v>121154.65766233765</v>
      </c>
      <c r="F22" s="50">
        <f t="shared" ref="F22:N22" si="2">$B$21*F19</f>
        <v>127212.39054545453</v>
      </c>
      <c r="G22" s="50">
        <f t="shared" si="2"/>
        <v>133270.12342857142</v>
      </c>
      <c r="H22" s="50">
        <f t="shared" si="2"/>
        <v>139327.85631168829</v>
      </c>
      <c r="I22" s="50">
        <f t="shared" si="2"/>
        <v>145385.58919480519</v>
      </c>
      <c r="J22" s="50">
        <f t="shared" si="2"/>
        <v>151443.32207792206</v>
      </c>
      <c r="K22" s="50">
        <f t="shared" si="2"/>
        <v>157501.05496103896</v>
      </c>
      <c r="L22" s="50">
        <f t="shared" si="2"/>
        <v>163558.78784415583</v>
      </c>
      <c r="M22" s="50">
        <f t="shared" si="2"/>
        <v>169616.5207272727</v>
      </c>
      <c r="N22" s="50">
        <f t="shared" si="2"/>
        <v>175674.2536103896</v>
      </c>
    </row>
    <row r="23" spans="1:14" ht="30" x14ac:dyDescent="0.25">
      <c r="A23" s="24" t="s">
        <v>119</v>
      </c>
      <c r="B23" s="1">
        <f>10*6300</f>
        <v>63000</v>
      </c>
      <c r="D23" s="1" t="s">
        <v>93</v>
      </c>
      <c r="E23" s="50">
        <f t="shared" ref="E23:N23" si="3">$B$26</f>
        <v>55550</v>
      </c>
      <c r="F23" s="50">
        <f t="shared" si="3"/>
        <v>55550</v>
      </c>
      <c r="G23" s="50">
        <f t="shared" si="3"/>
        <v>55550</v>
      </c>
      <c r="H23" s="50">
        <f t="shared" si="3"/>
        <v>55550</v>
      </c>
      <c r="I23" s="50">
        <f t="shared" si="3"/>
        <v>55550</v>
      </c>
      <c r="J23" s="50">
        <f t="shared" si="3"/>
        <v>55550</v>
      </c>
      <c r="K23" s="50">
        <f t="shared" si="3"/>
        <v>55550</v>
      </c>
      <c r="L23" s="50">
        <f t="shared" si="3"/>
        <v>55550</v>
      </c>
      <c r="M23" s="50">
        <f t="shared" si="3"/>
        <v>55550</v>
      </c>
      <c r="N23" s="50">
        <f t="shared" si="3"/>
        <v>55550</v>
      </c>
    </row>
    <row r="24" spans="1:14" x14ac:dyDescent="0.25">
      <c r="A24" s="24" t="s">
        <v>120</v>
      </c>
      <c r="B24" s="1">
        <f>B23*0.3</f>
        <v>18900</v>
      </c>
      <c r="D24" s="1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0" x14ac:dyDescent="0.25">
      <c r="A25" s="24" t="s">
        <v>67</v>
      </c>
      <c r="B25" s="1">
        <f>'прямая задача 1'!L18</f>
        <v>3075.0720000000006</v>
      </c>
      <c r="D25" s="1" t="s">
        <v>94</v>
      </c>
      <c r="E25" s="50">
        <f>E22+E23</f>
        <v>176704.65766233765</v>
      </c>
      <c r="F25" s="50">
        <f t="shared" ref="F25:N25" si="4">F22+F23</f>
        <v>182762.39054545452</v>
      </c>
      <c r="G25" s="50">
        <f t="shared" si="4"/>
        <v>188820.12342857142</v>
      </c>
      <c r="H25" s="50">
        <f t="shared" si="4"/>
        <v>194877.85631168829</v>
      </c>
      <c r="I25" s="50">
        <f t="shared" si="4"/>
        <v>200935.58919480519</v>
      </c>
      <c r="J25" s="50">
        <f t="shared" si="4"/>
        <v>206993.32207792206</v>
      </c>
      <c r="K25" s="50">
        <f t="shared" si="4"/>
        <v>213051.05496103896</v>
      </c>
      <c r="L25" s="50">
        <f t="shared" si="4"/>
        <v>219108.78784415583</v>
      </c>
      <c r="M25" s="50">
        <f t="shared" si="4"/>
        <v>225166.5207272727</v>
      </c>
      <c r="N25" s="50">
        <f t="shared" si="4"/>
        <v>231224.2536103896</v>
      </c>
    </row>
    <row r="26" spans="1:14" x14ac:dyDescent="0.25">
      <c r="A26" s="26" t="s">
        <v>68</v>
      </c>
      <c r="B26" s="23">
        <f>SUM(B28:B31)</f>
        <v>55550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ht="28.5" x14ac:dyDescent="0.25">
      <c r="A27" s="26" t="s">
        <v>72</v>
      </c>
      <c r="B27" s="23">
        <f>B26/511</f>
        <v>108.70841487279843</v>
      </c>
    </row>
    <row r="28" spans="1:14" x14ac:dyDescent="0.25">
      <c r="A28" s="56" t="s">
        <v>118</v>
      </c>
      <c r="B28" s="23">
        <f>6*6300</f>
        <v>37800</v>
      </c>
    </row>
    <row r="29" spans="1:14" x14ac:dyDescent="0.25">
      <c r="A29" s="56" t="s">
        <v>120</v>
      </c>
      <c r="B29" s="23">
        <f>B28*0.3</f>
        <v>11340</v>
      </c>
    </row>
    <row r="30" spans="1:14" x14ac:dyDescent="0.25">
      <c r="A30" s="21" t="s">
        <v>69</v>
      </c>
      <c r="B30" s="23">
        <f>'прямая задача 1'!K12</f>
        <v>1410</v>
      </c>
    </row>
    <row r="31" spans="1:14" x14ac:dyDescent="0.25">
      <c r="A31" s="21" t="s">
        <v>70</v>
      </c>
      <c r="B31" s="1">
        <f>'прямая задача 1'!H24</f>
        <v>5000</v>
      </c>
    </row>
    <row r="32" spans="1:14" x14ac:dyDescent="0.25">
      <c r="A32" s="144" t="s">
        <v>136</v>
      </c>
      <c r="B32" s="66">
        <f>B26/(I8-B21)</f>
        <v>21.673066853368091</v>
      </c>
    </row>
    <row r="35" spans="1:7" ht="27" customHeight="1" x14ac:dyDescent="0.25">
      <c r="A35" s="25" t="s">
        <v>73</v>
      </c>
      <c r="E35" s="118"/>
      <c r="F35" s="118"/>
    </row>
    <row r="36" spans="1:7" ht="45" x14ac:dyDescent="0.25">
      <c r="A36" s="29" t="s">
        <v>74</v>
      </c>
      <c r="E36" s="119"/>
      <c r="F36" s="119"/>
    </row>
    <row r="37" spans="1:7" x14ac:dyDescent="0.25">
      <c r="E37" s="120"/>
      <c r="F37" s="121"/>
    </row>
    <row r="38" spans="1:7" x14ac:dyDescent="0.25">
      <c r="A38" s="127"/>
      <c r="B38" s="127"/>
      <c r="E38" s="120"/>
      <c r="F38" s="122"/>
    </row>
    <row r="39" spans="1:7" x14ac:dyDescent="0.25">
      <c r="A39" s="128"/>
      <c r="B39" s="121"/>
      <c r="E39" s="120"/>
      <c r="F39" s="122"/>
    </row>
    <row r="40" spans="1:7" x14ac:dyDescent="0.25">
      <c r="A40" s="129"/>
      <c r="B40" s="122"/>
      <c r="E40" s="120"/>
      <c r="F40" s="113"/>
    </row>
    <row r="41" spans="1:7" x14ac:dyDescent="0.25">
      <c r="A41" s="129"/>
      <c r="B41" s="121"/>
      <c r="E41" s="123"/>
      <c r="F41" s="124"/>
    </row>
    <row r="42" spans="1:7" x14ac:dyDescent="0.25">
      <c r="A42" s="129"/>
      <c r="B42" s="113"/>
      <c r="E42" s="125"/>
      <c r="F42" s="126"/>
      <c r="G42" s="20"/>
    </row>
    <row r="43" spans="1:7" x14ac:dyDescent="0.25">
      <c r="E43" s="122"/>
      <c r="F43" s="122"/>
    </row>
    <row r="44" spans="1:7" ht="30" x14ac:dyDescent="0.25">
      <c r="A44" s="51" t="s">
        <v>108</v>
      </c>
      <c r="B44" s="52">
        <v>200000</v>
      </c>
    </row>
    <row r="45" spans="1:7" x14ac:dyDescent="0.25">
      <c r="A45" s="51" t="s">
        <v>109</v>
      </c>
      <c r="B45" s="52">
        <v>50000000</v>
      </c>
    </row>
    <row r="46" spans="1:7" x14ac:dyDescent="0.25">
      <c r="A46" s="30" t="s">
        <v>75</v>
      </c>
      <c r="B46" s="49">
        <f>'прямая задача 1'!H11</f>
        <v>81200</v>
      </c>
    </row>
    <row r="47" spans="1:7" x14ac:dyDescent="0.25">
      <c r="A47" s="30" t="s">
        <v>76</v>
      </c>
      <c r="B47" s="49">
        <f>B46+B44+B45</f>
        <v>50281200</v>
      </c>
    </row>
    <row r="48" spans="1:7" ht="15.75" thickBot="1" x14ac:dyDescent="0.3"/>
    <row r="49" spans="1:9" ht="15.75" thickBot="1" x14ac:dyDescent="0.3">
      <c r="A49" s="57" t="s">
        <v>121</v>
      </c>
      <c r="B49" s="58">
        <v>0</v>
      </c>
      <c r="C49" s="58">
        <v>1</v>
      </c>
      <c r="D49" s="58">
        <v>2</v>
      </c>
      <c r="E49" s="58">
        <v>3</v>
      </c>
      <c r="F49" s="80">
        <v>4</v>
      </c>
      <c r="G49" s="81"/>
      <c r="H49" s="58">
        <v>5</v>
      </c>
      <c r="I49" s="59"/>
    </row>
    <row r="50" spans="1:9" ht="15.75" thickBot="1" x14ac:dyDescent="0.3">
      <c r="A50" s="60" t="s">
        <v>122</v>
      </c>
      <c r="B50" s="62">
        <f>-B47</f>
        <v>-50281200</v>
      </c>
      <c r="C50" s="63"/>
      <c r="D50" s="63"/>
      <c r="E50" s="63"/>
      <c r="F50" s="63"/>
      <c r="G50" s="80"/>
      <c r="H50" s="81"/>
      <c r="I50" s="59"/>
    </row>
    <row r="51" spans="1:9" ht="15.75" thickBot="1" x14ac:dyDescent="0.3">
      <c r="A51" s="60" t="s">
        <v>123</v>
      </c>
      <c r="B51" s="63"/>
      <c r="C51" s="65">
        <f>B14</f>
        <v>23005658.342399992</v>
      </c>
      <c r="D51" s="62">
        <f>C51</f>
        <v>23005658.342399992</v>
      </c>
      <c r="E51" s="62">
        <f>D51</f>
        <v>23005658.342399992</v>
      </c>
      <c r="F51" s="62">
        <f>E51</f>
        <v>23005658.342399992</v>
      </c>
      <c r="G51" s="82">
        <f>F51</f>
        <v>23005658.342399992</v>
      </c>
      <c r="H51" s="90"/>
      <c r="I51" s="59"/>
    </row>
    <row r="52" spans="1:9" ht="15.75" thickBot="1" x14ac:dyDescent="0.3">
      <c r="A52" s="60" t="s">
        <v>124</v>
      </c>
      <c r="B52" s="62">
        <f>B50</f>
        <v>-50281200</v>
      </c>
      <c r="C52" s="65">
        <f>B52+C51</f>
        <v>-27275541.657600008</v>
      </c>
      <c r="D52" s="62">
        <f>C52+D51</f>
        <v>-4269883.3152000159</v>
      </c>
      <c r="E52" s="62">
        <f>D52+E51</f>
        <v>18735775.027199976</v>
      </c>
      <c r="F52" s="62">
        <f>E52+F51</f>
        <v>41741433.369599968</v>
      </c>
      <c r="G52" s="82">
        <f>F52+G51</f>
        <v>64747091.71199996</v>
      </c>
      <c r="H52" s="81"/>
      <c r="I52" s="59"/>
    </row>
    <row r="53" spans="1:9" ht="15.75" thickBot="1" x14ac:dyDescent="0.3">
      <c r="A53" s="60" t="s">
        <v>127</v>
      </c>
      <c r="B53" s="63"/>
      <c r="C53" s="63">
        <v>0.90900000000000003</v>
      </c>
      <c r="D53" s="63">
        <v>0.82599999999999996</v>
      </c>
      <c r="E53" s="63">
        <v>0.751</v>
      </c>
      <c r="F53" s="63">
        <v>0.68300000000000005</v>
      </c>
      <c r="G53" s="80">
        <v>0.621</v>
      </c>
      <c r="H53" s="81"/>
      <c r="I53" s="64"/>
    </row>
    <row r="54" spans="1:9" ht="15.75" thickBot="1" x14ac:dyDescent="0.3">
      <c r="A54" s="60" t="s">
        <v>125</v>
      </c>
      <c r="B54" s="63"/>
      <c r="C54" s="63">
        <f>C51*C53</f>
        <v>20912143.433241595</v>
      </c>
      <c r="D54" s="63">
        <f>D51*D53</f>
        <v>19002673.790822394</v>
      </c>
      <c r="E54" s="63">
        <f>E51*E53</f>
        <v>17277249.415142395</v>
      </c>
      <c r="F54" s="63">
        <f>F51*F53</f>
        <v>15712864.647859195</v>
      </c>
      <c r="G54" s="80">
        <f>G51*G53</f>
        <v>14286513.830630396</v>
      </c>
      <c r="H54" s="81"/>
      <c r="I54" s="63">
        <f>SUM(C54:H54)</f>
        <v>87191445.117695972</v>
      </c>
    </row>
    <row r="55" spans="1:9" x14ac:dyDescent="0.25">
      <c r="A55" s="83" t="s">
        <v>126</v>
      </c>
      <c r="B55" s="85">
        <f>B52</f>
        <v>-50281200</v>
      </c>
      <c r="C55" s="85">
        <f>B55+C54</f>
        <v>-29369056.566758405</v>
      </c>
      <c r="D55" s="85">
        <f>C55+D54</f>
        <v>-10366382.775936011</v>
      </c>
      <c r="E55" s="85">
        <f>D55+E54</f>
        <v>6910866.6392063834</v>
      </c>
      <c r="F55" s="85">
        <f>E55+F54</f>
        <v>22623731.28706558</v>
      </c>
      <c r="G55" s="86">
        <f>F55+G54</f>
        <v>36910245.117695972</v>
      </c>
      <c r="H55" s="87"/>
      <c r="I55" s="78"/>
    </row>
    <row r="56" spans="1:9" ht="15.75" thickBot="1" x14ac:dyDescent="0.3">
      <c r="A56" s="84"/>
      <c r="B56" s="84"/>
      <c r="C56" s="84"/>
      <c r="D56" s="84"/>
      <c r="E56" s="84"/>
      <c r="F56" s="84"/>
      <c r="G56" s="88"/>
      <c r="H56" s="89"/>
      <c r="I56" s="79"/>
    </row>
    <row r="57" spans="1:9" ht="15.75" thickBot="1" x14ac:dyDescent="0.3">
      <c r="A57" s="60" t="s">
        <v>128</v>
      </c>
      <c r="B57" s="63"/>
      <c r="C57" s="63">
        <v>0.82599999999999996</v>
      </c>
      <c r="D57" s="63">
        <v>0.68300000000000005</v>
      </c>
      <c r="E57" s="63">
        <v>0.56399999999999995</v>
      </c>
      <c r="F57" s="63">
        <v>0.46700000000000003</v>
      </c>
      <c r="G57" s="80">
        <v>0.38600000000000001</v>
      </c>
      <c r="H57" s="81"/>
      <c r="I57" s="64"/>
    </row>
    <row r="58" spans="1:9" ht="15.75" thickBot="1" x14ac:dyDescent="0.3">
      <c r="A58" s="60" t="s">
        <v>129</v>
      </c>
      <c r="B58" s="63"/>
      <c r="C58" s="63">
        <f>C51*C57</f>
        <v>19002673.790822394</v>
      </c>
      <c r="D58" s="63">
        <f>D51*D57</f>
        <v>15712864.647859195</v>
      </c>
      <c r="E58" s="63">
        <f>E51*E57</f>
        <v>12975191.305113595</v>
      </c>
      <c r="F58" s="63">
        <f>F51*F57</f>
        <v>10743642.445900796</v>
      </c>
      <c r="G58" s="80">
        <f>G51*G57</f>
        <v>8880184.1201663967</v>
      </c>
      <c r="H58" s="81"/>
      <c r="I58" s="63">
        <f>SUM(C58:H58)</f>
        <v>67314556.309862375</v>
      </c>
    </row>
    <row r="59" spans="1:9" ht="26.25" thickBot="1" x14ac:dyDescent="0.3">
      <c r="A59" s="60" t="s">
        <v>126</v>
      </c>
      <c r="B59" s="62">
        <f>B55</f>
        <v>-50281200</v>
      </c>
      <c r="C59" s="62">
        <f>B59+C58</f>
        <v>-31278526.209177606</v>
      </c>
      <c r="D59" s="62">
        <f>C59+D58</f>
        <v>-15565661.561318411</v>
      </c>
      <c r="E59" s="62">
        <f>D59+E58</f>
        <v>-2590470.2562048156</v>
      </c>
      <c r="F59" s="62">
        <f>E59+F58</f>
        <v>8153172.1896959804</v>
      </c>
      <c r="G59" s="82">
        <f>F59+G58</f>
        <v>17033356.309862375</v>
      </c>
      <c r="H59" s="81"/>
      <c r="I59" s="59"/>
    </row>
    <row r="62" spans="1:9" ht="18.75" x14ac:dyDescent="0.25">
      <c r="A62" s="18"/>
    </row>
    <row r="63" spans="1:9" x14ac:dyDescent="0.25">
      <c r="A63" t="s">
        <v>145</v>
      </c>
      <c r="B63">
        <f>2+E52/F51</f>
        <v>2.8143985600563965</v>
      </c>
    </row>
    <row r="65" spans="1:2" x14ac:dyDescent="0.25">
      <c r="A65" t="s">
        <v>130</v>
      </c>
      <c r="B65">
        <f>2+E55/F54</f>
        <v>2.4398221962758369</v>
      </c>
    </row>
    <row r="67" spans="1:2" x14ac:dyDescent="0.25">
      <c r="A67" t="s">
        <v>142</v>
      </c>
      <c r="B67" s="61">
        <f>I54+B59</f>
        <v>36910245.117695972</v>
      </c>
    </row>
    <row r="69" spans="1:2" x14ac:dyDescent="0.25">
      <c r="A69" t="s">
        <v>146</v>
      </c>
      <c r="B69">
        <f>B67/-B52</f>
        <v>0.73407645636333207</v>
      </c>
    </row>
    <row r="71" spans="1:2" ht="18.75" x14ac:dyDescent="0.25">
      <c r="A71" s="18"/>
    </row>
    <row r="72" spans="1:2" ht="18.75" x14ac:dyDescent="0.25">
      <c r="A72" s="18"/>
    </row>
    <row r="73" spans="1:2" ht="18.75" x14ac:dyDescent="0.25">
      <c r="A73" s="18"/>
    </row>
    <row r="74" spans="1:2" ht="18.75" x14ac:dyDescent="0.25">
      <c r="A74" s="18"/>
    </row>
    <row r="75" spans="1:2" ht="18.75" x14ac:dyDescent="0.25">
      <c r="A75" s="18"/>
    </row>
    <row r="76" spans="1:2" ht="18.75" x14ac:dyDescent="0.25">
      <c r="A76" s="18"/>
    </row>
  </sheetData>
  <mergeCells count="26">
    <mergeCell ref="A1:B1"/>
    <mergeCell ref="E5:H5"/>
    <mergeCell ref="E7:H7"/>
    <mergeCell ref="E35:F35"/>
    <mergeCell ref="A38:B38"/>
    <mergeCell ref="E3:H3"/>
    <mergeCell ref="E4:H4"/>
    <mergeCell ref="E8:H8"/>
    <mergeCell ref="E6:H6"/>
    <mergeCell ref="F55:F56"/>
    <mergeCell ref="G55:H56"/>
    <mergeCell ref="F49:G49"/>
    <mergeCell ref="G50:H50"/>
    <mergeCell ref="G51:H51"/>
    <mergeCell ref="G52:H52"/>
    <mergeCell ref="G53:H53"/>
    <mergeCell ref="A55:A56"/>
    <mergeCell ref="B55:B56"/>
    <mergeCell ref="C55:C56"/>
    <mergeCell ref="D55:D56"/>
    <mergeCell ref="E55:E56"/>
    <mergeCell ref="I55:I56"/>
    <mergeCell ref="G57:H57"/>
    <mergeCell ref="G58:H58"/>
    <mergeCell ref="G59:H59"/>
    <mergeCell ref="G54:H5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altText="" r:id="rId5">
            <anchor moveWithCells="1" sizeWithCells="1">
              <from>
                <xdr:col>3</xdr:col>
                <xdr:colOff>47625</xdr:colOff>
                <xdr:row>1</xdr:row>
                <xdr:rowOff>57150</xdr:rowOff>
              </from>
              <to>
                <xdr:col>3</xdr:col>
                <xdr:colOff>1285875</xdr:colOff>
                <xdr:row>2</xdr:row>
                <xdr:rowOff>95250</xdr:rowOff>
              </to>
            </anchor>
          </objectPr>
        </oleObject>
      </mc:Choice>
      <mc:Fallback>
        <oleObject progId="Equation.3" shapeId="2049" r:id="rId4"/>
      </mc:Fallback>
    </mc:AlternateContent>
  </oleObjects>
  <controls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533400</xdr:colOff>
                <xdr:row>34</xdr:row>
                <xdr:rowOff>38100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11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13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r:id="rId17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r:id="rId19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r:id="rId19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1" name="Control 10">
          <controlPr defaultSize="0" r:id="rId19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8" r:id="rId21" name="Control 10"/>
      </mc:Fallback>
    </mc:AlternateContent>
    <mc:AlternateContent xmlns:mc="http://schemas.openxmlformats.org/markup-compatibility/2006">
      <mc:Choice Requires="x14">
        <control shapeId="2059" r:id="rId22" name="Control 11">
          <controlPr defaultSize="0" r:id="rId19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59" r:id="rId22" name="Control 11"/>
      </mc:Fallback>
    </mc:AlternateContent>
    <mc:AlternateContent xmlns:mc="http://schemas.openxmlformats.org/markup-compatibility/2006">
      <mc:Choice Requires="x14">
        <control shapeId="2060" r:id="rId23" name="Control 12">
          <controlPr defaultSize="0" r:id="rId19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2060" r:id="rId23" name="Control 1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opLeftCell="A13" zoomScale="90" zoomScaleNormal="90" workbookViewId="0">
      <selection activeCell="A32" sqref="A32:B38"/>
    </sheetView>
  </sheetViews>
  <sheetFormatPr defaultRowHeight="15" x14ac:dyDescent="0.25"/>
  <cols>
    <col min="1" max="1" width="40.140625" customWidth="1"/>
    <col min="2" max="2" width="33.85546875" customWidth="1"/>
    <col min="3" max="3" width="12.42578125" customWidth="1"/>
    <col min="4" max="4" width="11.7109375" customWidth="1"/>
    <col min="5" max="5" width="19.85546875" customWidth="1"/>
    <col min="7" max="7" width="34.140625" customWidth="1"/>
    <col min="8" max="8" width="32.85546875" customWidth="1"/>
    <col min="9" max="10" width="16" customWidth="1"/>
    <col min="11" max="11" width="17.85546875" customWidth="1"/>
    <col min="12" max="12" width="17" customWidth="1"/>
  </cols>
  <sheetData>
    <row r="2" spans="1:16" ht="21" x14ac:dyDescent="0.35">
      <c r="A2" s="36" t="s">
        <v>141</v>
      </c>
    </row>
    <row r="4" spans="1:16" x14ac:dyDescent="0.25">
      <c r="A4" t="s">
        <v>0</v>
      </c>
      <c r="G4" t="s">
        <v>21</v>
      </c>
    </row>
    <row r="5" spans="1:16" ht="43.5" customHeight="1" x14ac:dyDescent="0.25">
      <c r="A5" s="6" t="s">
        <v>1</v>
      </c>
      <c r="B5" s="6" t="s">
        <v>4</v>
      </c>
      <c r="C5" s="6" t="s">
        <v>2</v>
      </c>
      <c r="D5" s="6" t="s">
        <v>5</v>
      </c>
      <c r="E5" s="6" t="s">
        <v>3</v>
      </c>
      <c r="G5" s="9" t="s">
        <v>22</v>
      </c>
      <c r="H5" s="9" t="s">
        <v>25</v>
      </c>
      <c r="I5" s="9" t="s">
        <v>26</v>
      </c>
      <c r="J5" s="9" t="s">
        <v>23</v>
      </c>
      <c r="K5" s="9" t="s">
        <v>24</v>
      </c>
      <c r="M5" s="5"/>
      <c r="N5" s="5"/>
      <c r="O5" s="5"/>
      <c r="P5" s="5"/>
    </row>
    <row r="6" spans="1:16" ht="33" customHeight="1" x14ac:dyDescent="0.25">
      <c r="A6" s="41" t="s">
        <v>102</v>
      </c>
      <c r="B6" s="3" t="s">
        <v>6</v>
      </c>
      <c r="C6" s="3">
        <v>600</v>
      </c>
      <c r="D6" s="3">
        <v>1</v>
      </c>
      <c r="E6" s="42">
        <f>C6*D6</f>
        <v>600</v>
      </c>
      <c r="G6" s="40" t="s">
        <v>97</v>
      </c>
      <c r="H6" s="3">
        <v>8000</v>
      </c>
      <c r="I6" s="3">
        <v>5</v>
      </c>
      <c r="J6" s="3">
        <f>1/I6*100</f>
        <v>20</v>
      </c>
      <c r="K6" s="3">
        <f>H6*J6/100</f>
        <v>1600</v>
      </c>
      <c r="M6" s="5"/>
      <c r="N6" s="5"/>
      <c r="O6" s="5"/>
      <c r="P6" s="5"/>
    </row>
    <row r="7" spans="1:16" x14ac:dyDescent="0.25">
      <c r="A7" s="40" t="s">
        <v>103</v>
      </c>
      <c r="B7" s="3" t="s">
        <v>7</v>
      </c>
      <c r="C7" s="3">
        <v>450</v>
      </c>
      <c r="D7" s="3">
        <v>1</v>
      </c>
      <c r="E7" s="42">
        <f>C7*D7*515</f>
        <v>231750</v>
      </c>
      <c r="G7" s="40" t="s">
        <v>98</v>
      </c>
      <c r="H7" s="3">
        <v>4200</v>
      </c>
      <c r="I7" s="3">
        <v>10</v>
      </c>
      <c r="J7" s="10">
        <f t="shared" ref="J7:J10" si="0">1/I7*100</f>
        <v>10</v>
      </c>
      <c r="K7" s="10">
        <f>H7*J7/100</f>
        <v>420</v>
      </c>
      <c r="M7" s="5"/>
      <c r="N7" s="5"/>
      <c r="O7" s="5"/>
      <c r="P7" s="5"/>
    </row>
    <row r="8" spans="1:16" x14ac:dyDescent="0.25">
      <c r="A8" s="40" t="s">
        <v>104</v>
      </c>
      <c r="B8" s="3" t="s">
        <v>8</v>
      </c>
      <c r="C8" s="3">
        <v>360</v>
      </c>
      <c r="D8" s="3">
        <v>12.775</v>
      </c>
      <c r="E8" s="42">
        <f>C8*D8*515</f>
        <v>2368485</v>
      </c>
      <c r="G8" s="40" t="s">
        <v>99</v>
      </c>
      <c r="H8" s="3">
        <v>16000</v>
      </c>
      <c r="I8" s="3">
        <v>4</v>
      </c>
      <c r="J8" s="3">
        <f t="shared" si="0"/>
        <v>25</v>
      </c>
      <c r="K8" s="3">
        <f>H8*J8/100</f>
        <v>4000</v>
      </c>
      <c r="M8" s="5"/>
      <c r="N8" s="5"/>
      <c r="O8" s="5"/>
      <c r="P8" s="5"/>
    </row>
    <row r="9" spans="1:16" x14ac:dyDescent="0.25">
      <c r="A9" s="40" t="s">
        <v>105</v>
      </c>
      <c r="B9" s="3" t="s">
        <v>7</v>
      </c>
      <c r="C9" s="3">
        <v>1000</v>
      </c>
      <c r="D9" s="3">
        <v>1</v>
      </c>
      <c r="E9" s="42">
        <f>C9*D9*515</f>
        <v>515000</v>
      </c>
      <c r="G9" s="40" t="s">
        <v>100</v>
      </c>
      <c r="H9" s="3">
        <v>29000</v>
      </c>
      <c r="I9" s="3">
        <v>10</v>
      </c>
      <c r="J9" s="3">
        <f>1/I9*100</f>
        <v>10</v>
      </c>
      <c r="K9" s="3">
        <f t="shared" ref="K9:K10" si="1">H9*J9/100</f>
        <v>2900</v>
      </c>
      <c r="M9" s="5"/>
      <c r="N9" s="5"/>
      <c r="O9" s="5"/>
      <c r="P9" s="5"/>
    </row>
    <row r="10" spans="1:16" x14ac:dyDescent="0.25">
      <c r="A10" s="71" t="s">
        <v>137</v>
      </c>
      <c r="B10" s="71"/>
      <c r="C10" s="71"/>
      <c r="D10" s="71"/>
      <c r="E10" s="43">
        <f>SUM(E6:E9)</f>
        <v>3115835</v>
      </c>
      <c r="G10" s="40" t="s">
        <v>101</v>
      </c>
      <c r="H10" s="3">
        <v>24000</v>
      </c>
      <c r="I10" s="3">
        <v>3</v>
      </c>
      <c r="J10" s="10">
        <f t="shared" si="0"/>
        <v>33.333333333333329</v>
      </c>
      <c r="K10" s="3">
        <f t="shared" si="1"/>
        <v>7999.9999999999991</v>
      </c>
      <c r="M10" s="5"/>
      <c r="N10" s="5"/>
      <c r="O10" s="5"/>
      <c r="P10" s="5"/>
    </row>
    <row r="11" spans="1:16" x14ac:dyDescent="0.25">
      <c r="A11" s="72"/>
      <c r="B11" s="73"/>
      <c r="C11" s="73"/>
      <c r="D11" s="74"/>
      <c r="E11" s="43"/>
      <c r="G11" s="2" t="s">
        <v>9</v>
      </c>
      <c r="H11" s="3">
        <f>SUM(H6:H10)</f>
        <v>81200</v>
      </c>
      <c r="I11" s="1"/>
      <c r="J11" s="1"/>
      <c r="K11" s="11">
        <f>SUM(K6:K10)</f>
        <v>16920</v>
      </c>
      <c r="M11" s="5"/>
      <c r="N11" s="5"/>
      <c r="O11" s="5"/>
      <c r="P11" s="5"/>
    </row>
    <row r="12" spans="1:16" x14ac:dyDescent="0.25">
      <c r="A12" s="75" t="s">
        <v>134</v>
      </c>
      <c r="B12" s="76"/>
      <c r="C12" s="76"/>
      <c r="D12" s="77"/>
      <c r="E12" s="43">
        <f>E10*22</f>
        <v>68548370</v>
      </c>
      <c r="H12" s="5"/>
      <c r="I12" s="5"/>
      <c r="J12" s="5" t="s">
        <v>135</v>
      </c>
      <c r="K12" s="107">
        <f>K11/12</f>
        <v>1410</v>
      </c>
      <c r="L12" s="5"/>
      <c r="M12" s="5"/>
      <c r="N12" s="5"/>
      <c r="O12" s="5"/>
      <c r="P12" s="5"/>
    </row>
    <row r="13" spans="1:16" ht="30" customHeight="1" x14ac:dyDescent="0.25">
      <c r="G13" s="12" t="s">
        <v>27</v>
      </c>
      <c r="I13" s="5"/>
      <c r="J13" s="5"/>
      <c r="K13" s="5"/>
      <c r="L13" s="5"/>
      <c r="M13" s="5"/>
      <c r="N13" s="5"/>
      <c r="O13" s="5"/>
      <c r="P13" s="5"/>
    </row>
    <row r="14" spans="1:16" ht="45.75" x14ac:dyDescent="0.25">
      <c r="G14" s="9" t="s">
        <v>30</v>
      </c>
      <c r="H14" s="9" t="s">
        <v>62</v>
      </c>
      <c r="I14" s="9" t="s">
        <v>63</v>
      </c>
      <c r="J14" s="9" t="s">
        <v>28</v>
      </c>
      <c r="K14" s="9" t="s">
        <v>29</v>
      </c>
      <c r="L14" s="9" t="s">
        <v>14</v>
      </c>
      <c r="M14" s="5"/>
      <c r="N14" s="5"/>
      <c r="O14" s="5"/>
      <c r="P14" s="5"/>
    </row>
    <row r="15" spans="1:16" ht="51.75" customHeight="1" x14ac:dyDescent="0.25">
      <c r="G15" s="40" t="s">
        <v>99</v>
      </c>
      <c r="H15" s="44">
        <v>0.78</v>
      </c>
      <c r="I15" s="3">
        <v>3</v>
      </c>
      <c r="J15" s="3">
        <v>0.8</v>
      </c>
      <c r="K15" s="3">
        <v>16</v>
      </c>
      <c r="L15" s="1">
        <f>I15*H15*J15*K15*22</f>
        <v>658.94399999999996</v>
      </c>
      <c r="M15" s="5"/>
      <c r="N15" s="5"/>
      <c r="O15" s="5"/>
      <c r="P15" s="5"/>
    </row>
    <row r="16" spans="1:16" x14ac:dyDescent="0.25">
      <c r="G16" s="40" t="s">
        <v>100</v>
      </c>
      <c r="H16" s="44">
        <v>0.78</v>
      </c>
      <c r="I16" s="3">
        <v>1</v>
      </c>
      <c r="J16" s="3">
        <v>0.8</v>
      </c>
      <c r="K16" s="3">
        <v>16</v>
      </c>
      <c r="L16" s="1">
        <f>I16*H16*J16*K16*22</f>
        <v>219.64800000000002</v>
      </c>
      <c r="M16" s="5"/>
      <c r="N16" s="5"/>
      <c r="O16" s="5"/>
      <c r="P16" s="5"/>
    </row>
    <row r="17" spans="1:16" x14ac:dyDescent="0.25">
      <c r="G17" s="40" t="s">
        <v>101</v>
      </c>
      <c r="H17" s="44">
        <v>0.78</v>
      </c>
      <c r="I17" s="3">
        <v>10</v>
      </c>
      <c r="J17" s="3">
        <v>0.8</v>
      </c>
      <c r="K17" s="3">
        <v>16</v>
      </c>
      <c r="L17" s="1">
        <f>I17*H17*J17*K17*22</f>
        <v>2196.4800000000005</v>
      </c>
      <c r="M17" s="5"/>
      <c r="N17" s="5"/>
      <c r="O17" s="5"/>
      <c r="P17" s="5"/>
    </row>
    <row r="18" spans="1:16" x14ac:dyDescent="0.25">
      <c r="A18" t="s">
        <v>11</v>
      </c>
      <c r="G18" s="1" t="s">
        <v>9</v>
      </c>
      <c r="H18" s="1"/>
      <c r="I18" s="1"/>
      <c r="J18" s="1"/>
      <c r="K18" s="1"/>
      <c r="L18" s="2">
        <f>SUM(L15:L17)</f>
        <v>3075.0720000000006</v>
      </c>
    </row>
    <row r="19" spans="1:16" ht="39" customHeight="1" x14ac:dyDescent="0.25">
      <c r="A19" s="7" t="s">
        <v>12</v>
      </c>
      <c r="B19" s="8" t="s">
        <v>13</v>
      </c>
      <c r="C19" s="7" t="s">
        <v>14</v>
      </c>
      <c r="D19" s="5"/>
      <c r="E19" s="5"/>
      <c r="G19" s="143"/>
      <c r="H19" s="143"/>
      <c r="I19" s="5"/>
      <c r="J19" s="5"/>
      <c r="K19" s="5"/>
      <c r="L19" s="5"/>
    </row>
    <row r="20" spans="1:16" x14ac:dyDescent="0.25">
      <c r="A20" s="3">
        <f>5+11</f>
        <v>16</v>
      </c>
      <c r="B20" s="3">
        <v>6300</v>
      </c>
      <c r="C20" s="3">
        <f>B20*A20</f>
        <v>100800</v>
      </c>
      <c r="D20" s="5"/>
      <c r="E20" s="5"/>
      <c r="G20" s="5"/>
      <c r="H20" s="5"/>
      <c r="I20" s="5"/>
      <c r="J20" s="5"/>
      <c r="K20" s="5"/>
      <c r="L20" s="5"/>
    </row>
    <row r="21" spans="1:16" x14ac:dyDescent="0.25">
      <c r="A21" s="75" t="s">
        <v>10</v>
      </c>
      <c r="B21" s="77"/>
      <c r="C21" s="2">
        <f>C20</f>
        <v>100800</v>
      </c>
      <c r="D21" s="5"/>
      <c r="E21" s="5"/>
      <c r="G21" s="5"/>
      <c r="H21" s="5"/>
      <c r="I21" s="5"/>
      <c r="J21" s="5"/>
      <c r="K21" s="5"/>
      <c r="L21" s="5"/>
    </row>
    <row r="22" spans="1:16" ht="15.75" x14ac:dyDescent="0.25">
      <c r="A22" s="5"/>
      <c r="B22" s="5"/>
      <c r="C22" s="5"/>
      <c r="D22" s="5"/>
      <c r="E22" s="5"/>
      <c r="G22" s="13" t="s">
        <v>96</v>
      </c>
      <c r="I22" s="5"/>
      <c r="J22" s="5"/>
      <c r="K22" s="5"/>
      <c r="L22" s="5"/>
    </row>
    <row r="23" spans="1:16" x14ac:dyDescent="0.25">
      <c r="A23" s="5" t="s">
        <v>15</v>
      </c>
      <c r="B23" s="5"/>
      <c r="C23" s="5"/>
      <c r="D23" s="5"/>
      <c r="E23" s="5"/>
      <c r="G23" s="9" t="s">
        <v>31</v>
      </c>
      <c r="H23" s="9" t="s">
        <v>32</v>
      </c>
      <c r="I23" s="5"/>
      <c r="J23" s="5"/>
      <c r="K23" s="5"/>
      <c r="L23" s="5"/>
    </row>
    <row r="24" spans="1:16" ht="31.5" x14ac:dyDescent="0.25">
      <c r="A24" s="9" t="s">
        <v>19</v>
      </c>
      <c r="B24" s="6" t="s">
        <v>16</v>
      </c>
      <c r="C24" s="6" t="s">
        <v>14</v>
      </c>
      <c r="D24" s="5"/>
      <c r="E24" s="5"/>
      <c r="G24" s="14" t="s">
        <v>106</v>
      </c>
      <c r="H24" s="15">
        <v>5000</v>
      </c>
      <c r="I24" s="5"/>
      <c r="J24" s="5"/>
      <c r="K24" s="5"/>
      <c r="L24" s="5"/>
    </row>
    <row r="25" spans="1:16" x14ac:dyDescent="0.25">
      <c r="A25" s="4" t="s">
        <v>20</v>
      </c>
      <c r="B25" s="3">
        <v>22</v>
      </c>
      <c r="C25" s="3">
        <f>C21*B25/100</f>
        <v>22176</v>
      </c>
      <c r="G25" s="130"/>
      <c r="H25" s="131"/>
      <c r="I25" s="5"/>
      <c r="J25" s="5"/>
      <c r="K25" s="5"/>
      <c r="L25" s="5"/>
    </row>
    <row r="26" spans="1:16" x14ac:dyDescent="0.25">
      <c r="A26" s="4" t="s">
        <v>17</v>
      </c>
      <c r="B26" s="3">
        <v>2.9</v>
      </c>
      <c r="C26" s="3">
        <f>C21*B26/100</f>
        <v>2923.2</v>
      </c>
      <c r="G26" s="130"/>
      <c r="H26" s="132"/>
    </row>
    <row r="27" spans="1:16" ht="30" x14ac:dyDescent="0.25">
      <c r="A27" s="4" t="s">
        <v>18</v>
      </c>
      <c r="B27" s="3">
        <v>5.0999999999999996</v>
      </c>
      <c r="C27" s="3">
        <f>C21*B27/100</f>
        <v>5140.7999999999993</v>
      </c>
    </row>
    <row r="28" spans="1:16" x14ac:dyDescent="0.25">
      <c r="A28" s="2" t="s">
        <v>9</v>
      </c>
      <c r="B28" s="1"/>
      <c r="C28" s="2">
        <f>SUM(C25:C27)</f>
        <v>30240</v>
      </c>
    </row>
    <row r="31" spans="1:16" ht="15.75" x14ac:dyDescent="0.25">
      <c r="A31" s="13" t="s">
        <v>39</v>
      </c>
      <c r="B31" s="13"/>
      <c r="C31" s="13"/>
      <c r="D31" s="13"/>
    </row>
    <row r="32" spans="1:16" x14ac:dyDescent="0.25">
      <c r="A32" s="9" t="s">
        <v>31</v>
      </c>
      <c r="B32" s="9" t="s">
        <v>32</v>
      </c>
    </row>
    <row r="33" spans="1:2" ht="28.5" customHeight="1" x14ac:dyDescent="0.25">
      <c r="A33" s="16" t="s">
        <v>33</v>
      </c>
      <c r="B33" s="45">
        <f>'прямая задача 2 (2)'!E12+L18</f>
        <v>68551445.071999997</v>
      </c>
    </row>
    <row r="34" spans="1:2" ht="29.25" customHeight="1" x14ac:dyDescent="0.25">
      <c r="A34" s="16" t="s">
        <v>34</v>
      </c>
      <c r="B34" s="46">
        <f>C21</f>
        <v>100800</v>
      </c>
    </row>
    <row r="35" spans="1:2" ht="23.25" customHeight="1" x14ac:dyDescent="0.25">
      <c r="A35" s="16" t="s">
        <v>35</v>
      </c>
      <c r="B35" s="46">
        <f>C28</f>
        <v>30240</v>
      </c>
    </row>
    <row r="36" spans="1:2" ht="15.75" x14ac:dyDescent="0.25">
      <c r="A36" s="16" t="s">
        <v>36</v>
      </c>
      <c r="B36" s="46">
        <f>K12</f>
        <v>1410</v>
      </c>
    </row>
    <row r="37" spans="1:2" ht="15.75" x14ac:dyDescent="0.25">
      <c r="A37" s="16" t="s">
        <v>37</v>
      </c>
      <c r="B37" s="46">
        <f>H24</f>
        <v>5000</v>
      </c>
    </row>
    <row r="38" spans="1:2" ht="15.75" x14ac:dyDescent="0.25">
      <c r="A38" s="17" t="s">
        <v>38</v>
      </c>
      <c r="B38" s="47">
        <f>SUM(B33:B37)</f>
        <v>68688895.071999997</v>
      </c>
    </row>
    <row r="39" spans="1:2" x14ac:dyDescent="0.25">
      <c r="B39" s="48"/>
    </row>
    <row r="42" spans="1:2" x14ac:dyDescent="0.25">
      <c r="A42" s="106"/>
    </row>
  </sheetData>
  <mergeCells count="6">
    <mergeCell ref="A10:D10"/>
    <mergeCell ref="A11:D11"/>
    <mergeCell ref="A12:D12"/>
    <mergeCell ref="G19:H19"/>
    <mergeCell ref="A21:B21"/>
    <mergeCell ref="G25:G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N76"/>
  <sheetViews>
    <sheetView workbookViewId="0">
      <selection activeCell="B65" sqref="B65"/>
    </sheetView>
  </sheetViews>
  <sheetFormatPr defaultRowHeight="15" x14ac:dyDescent="0.25"/>
  <cols>
    <col min="1" max="1" width="39.85546875" customWidth="1"/>
    <col min="2" max="2" width="18.5703125" customWidth="1"/>
    <col min="3" max="3" width="17" customWidth="1"/>
    <col min="4" max="4" width="19.85546875" customWidth="1"/>
    <col min="5" max="5" width="29" customWidth="1"/>
    <col min="6" max="6" width="21.140625" customWidth="1"/>
    <col min="7" max="7" width="13.5703125" customWidth="1"/>
    <col min="8" max="8" width="10.42578125" customWidth="1"/>
    <col min="9" max="9" width="17.140625" customWidth="1"/>
    <col min="10" max="10" width="10.5703125" customWidth="1"/>
    <col min="11" max="12" width="10.85546875" customWidth="1"/>
    <col min="13" max="13" width="10.42578125" customWidth="1"/>
    <col min="14" max="14" width="11.42578125" customWidth="1"/>
  </cols>
  <sheetData>
    <row r="1" spans="1:9" x14ac:dyDescent="0.25">
      <c r="A1" s="91" t="s">
        <v>40</v>
      </c>
      <c r="B1" s="91"/>
    </row>
    <row r="2" spans="1:9" x14ac:dyDescent="0.25">
      <c r="A2" s="19" t="s">
        <v>41</v>
      </c>
      <c r="B2" s="19" t="s">
        <v>32</v>
      </c>
      <c r="E2" s="20" t="s">
        <v>55</v>
      </c>
    </row>
    <row r="3" spans="1:9" ht="30.75" customHeight="1" x14ac:dyDescent="0.25">
      <c r="A3" s="21" t="s">
        <v>42</v>
      </c>
      <c r="B3" s="49">
        <f>515*I8*22</f>
        <v>103338912.32876712</v>
      </c>
      <c r="E3" s="98" t="s">
        <v>41</v>
      </c>
      <c r="F3" s="99"/>
      <c r="G3" s="99"/>
      <c r="H3" s="100"/>
      <c r="I3" s="19" t="s">
        <v>107</v>
      </c>
    </row>
    <row r="4" spans="1:9" ht="22.5" customHeight="1" x14ac:dyDescent="0.25">
      <c r="A4" s="21" t="s">
        <v>43</v>
      </c>
      <c r="B4" s="49">
        <f>'прямая задача 2 (2)'!B38</f>
        <v>68688895.071999997</v>
      </c>
      <c r="E4" s="101" t="s">
        <v>56</v>
      </c>
      <c r="F4" s="102"/>
      <c r="G4" s="102"/>
      <c r="H4" s="103"/>
      <c r="I4" s="22">
        <f>'прямая задача 2 (2)'!E10/515</f>
        <v>6050.1650485436894</v>
      </c>
    </row>
    <row r="5" spans="1:9" ht="20.25" customHeight="1" x14ac:dyDescent="0.25">
      <c r="A5" s="21" t="s">
        <v>44</v>
      </c>
      <c r="B5" s="23">
        <f>B3-B4</f>
        <v>34650017.256767124</v>
      </c>
      <c r="E5" s="92" t="s">
        <v>57</v>
      </c>
      <c r="F5" s="93"/>
      <c r="G5" s="93"/>
      <c r="H5" s="94"/>
      <c r="I5" s="23">
        <f>0.02*('прямая задача 1'!H11)/511</f>
        <v>3.1780821917808217</v>
      </c>
    </row>
    <row r="6" spans="1:9" ht="20.25" customHeight="1" x14ac:dyDescent="0.25">
      <c r="A6" s="21" t="s">
        <v>45</v>
      </c>
      <c r="B6" s="23"/>
      <c r="E6" s="92" t="s">
        <v>59</v>
      </c>
      <c r="F6" s="93"/>
      <c r="G6" s="93"/>
      <c r="H6" s="94"/>
      <c r="I6" s="23">
        <v>7500</v>
      </c>
    </row>
    <row r="7" spans="1:9" ht="33" customHeight="1" x14ac:dyDescent="0.25">
      <c r="A7" s="24" t="s">
        <v>46</v>
      </c>
      <c r="B7" s="23">
        <f>I5*511</f>
        <v>1624</v>
      </c>
      <c r="E7" s="95" t="s">
        <v>60</v>
      </c>
      <c r="F7" s="96"/>
      <c r="G7" s="96"/>
      <c r="H7" s="97"/>
      <c r="I7" s="23">
        <f>I6-I4-I5</f>
        <v>1446.6568692645299</v>
      </c>
    </row>
    <row r="8" spans="1:9" x14ac:dyDescent="0.25">
      <c r="A8" s="21" t="s">
        <v>47</v>
      </c>
      <c r="B8" s="23">
        <f>B5-B7</f>
        <v>34648393.256767124</v>
      </c>
      <c r="E8" s="104" t="s">
        <v>58</v>
      </c>
      <c r="F8" s="104"/>
      <c r="G8" s="104"/>
      <c r="H8" s="104"/>
      <c r="I8" s="66">
        <f>I7+B7+I4</f>
        <v>9120.8219178082181</v>
      </c>
    </row>
    <row r="9" spans="1:9" x14ac:dyDescent="0.25">
      <c r="A9" s="21" t="s">
        <v>48</v>
      </c>
      <c r="B9" s="1"/>
    </row>
    <row r="10" spans="1:9" ht="15" customHeight="1" x14ac:dyDescent="0.25">
      <c r="A10" s="21" t="s">
        <v>49</v>
      </c>
      <c r="B10" s="1">
        <v>0</v>
      </c>
    </row>
    <row r="11" spans="1:9" ht="15" customHeight="1" x14ac:dyDescent="0.25">
      <c r="A11" s="21" t="s">
        <v>50</v>
      </c>
      <c r="B11" s="23">
        <f>B8-B10</f>
        <v>34648393.256767124</v>
      </c>
    </row>
    <row r="12" spans="1:9" ht="15" customHeight="1" x14ac:dyDescent="0.25">
      <c r="A12" s="21" t="s">
        <v>51</v>
      </c>
      <c r="B12" s="1"/>
    </row>
    <row r="13" spans="1:9" ht="15" customHeight="1" x14ac:dyDescent="0.25">
      <c r="A13" s="21" t="s">
        <v>52</v>
      </c>
      <c r="B13" s="1">
        <f>B11*0.2</f>
        <v>6929678.6513534253</v>
      </c>
    </row>
    <row r="14" spans="1:9" ht="15" customHeight="1" x14ac:dyDescent="0.25">
      <c r="A14" s="21" t="s">
        <v>53</v>
      </c>
      <c r="B14" s="49">
        <f>B11-B13+B10</f>
        <v>27718714.605413698</v>
      </c>
    </row>
    <row r="15" spans="1:9" ht="15" customHeight="1" x14ac:dyDescent="0.25">
      <c r="A15" s="21" t="s">
        <v>54</v>
      </c>
      <c r="B15" s="1"/>
    </row>
    <row r="16" spans="1:9" ht="15" customHeight="1" x14ac:dyDescent="0.25">
      <c r="A16" s="21" t="s">
        <v>61</v>
      </c>
      <c r="B16" s="23">
        <f>B14/B4*100</f>
        <v>40.353996925352817</v>
      </c>
    </row>
    <row r="17" spans="1:14" ht="18.75" x14ac:dyDescent="0.25">
      <c r="A17" s="18"/>
    </row>
    <row r="18" spans="1:14" x14ac:dyDescent="0.25">
      <c r="A18" s="25" t="s">
        <v>64</v>
      </c>
      <c r="D18" s="33" t="s">
        <v>95</v>
      </c>
    </row>
    <row r="19" spans="1:14" x14ac:dyDescent="0.25">
      <c r="A19" s="19" t="s">
        <v>41</v>
      </c>
      <c r="B19" s="19" t="s">
        <v>32</v>
      </c>
      <c r="D19" s="1" t="s">
        <v>89</v>
      </c>
      <c r="E19" s="3">
        <v>20</v>
      </c>
      <c r="F19" s="3">
        <v>21</v>
      </c>
      <c r="G19" s="3">
        <v>22</v>
      </c>
      <c r="H19" s="3">
        <v>23</v>
      </c>
      <c r="I19" s="3">
        <v>24</v>
      </c>
      <c r="J19" s="3">
        <v>25</v>
      </c>
      <c r="K19" s="3">
        <v>26</v>
      </c>
      <c r="L19" s="3">
        <v>27</v>
      </c>
      <c r="M19" s="3">
        <v>28</v>
      </c>
      <c r="N19" s="3">
        <v>29</v>
      </c>
    </row>
    <row r="20" spans="1:14" x14ac:dyDescent="0.25">
      <c r="A20" s="26" t="s">
        <v>65</v>
      </c>
      <c r="B20" s="23">
        <f>SUM(B22:B25)</f>
        <v>68633345.071999997</v>
      </c>
      <c r="D20" s="1" t="s">
        <v>90</v>
      </c>
      <c r="E20" s="50">
        <f>I8</f>
        <v>9120.8219178082181</v>
      </c>
      <c r="F20" s="50">
        <f>E20</f>
        <v>9120.8219178082181</v>
      </c>
      <c r="G20" s="50">
        <f t="shared" ref="G20:N20" si="0">F20</f>
        <v>9120.8219178082181</v>
      </c>
      <c r="H20" s="50">
        <f t="shared" si="0"/>
        <v>9120.8219178082181</v>
      </c>
      <c r="I20" s="50">
        <f t="shared" si="0"/>
        <v>9120.8219178082181</v>
      </c>
      <c r="J20" s="50">
        <f t="shared" si="0"/>
        <v>9120.8219178082181</v>
      </c>
      <c r="K20" s="50">
        <f t="shared" si="0"/>
        <v>9120.8219178082181</v>
      </c>
      <c r="L20" s="50">
        <f t="shared" si="0"/>
        <v>9120.8219178082181</v>
      </c>
      <c r="M20" s="50">
        <f t="shared" si="0"/>
        <v>9120.8219178082181</v>
      </c>
      <c r="N20" s="50">
        <f t="shared" si="0"/>
        <v>9120.8219178082181</v>
      </c>
    </row>
    <row r="21" spans="1:14" ht="28.5" x14ac:dyDescent="0.25">
      <c r="A21" s="26" t="s">
        <v>71</v>
      </c>
      <c r="B21" s="23">
        <f>B20/(515*22)</f>
        <v>6057.665054898499</v>
      </c>
      <c r="D21" s="1" t="s">
        <v>91</v>
      </c>
      <c r="E21" s="50">
        <f>E19*E20</f>
        <v>182416.43835616438</v>
      </c>
      <c r="F21" s="50">
        <f t="shared" ref="F21:N21" si="1">F19*F20</f>
        <v>191537.26027397258</v>
      </c>
      <c r="G21" s="50">
        <f t="shared" si="1"/>
        <v>200658.08219178079</v>
      </c>
      <c r="H21" s="50">
        <f t="shared" si="1"/>
        <v>209778.90410958903</v>
      </c>
      <c r="I21" s="50">
        <f t="shared" si="1"/>
        <v>218899.72602739724</v>
      </c>
      <c r="J21" s="50">
        <f t="shared" si="1"/>
        <v>228020.54794520544</v>
      </c>
      <c r="K21" s="50">
        <f t="shared" si="1"/>
        <v>237141.36986301368</v>
      </c>
      <c r="L21" s="50">
        <f t="shared" si="1"/>
        <v>246262.19178082189</v>
      </c>
      <c r="M21" s="50">
        <f t="shared" si="1"/>
        <v>255383.01369863009</v>
      </c>
      <c r="N21" s="50">
        <f t="shared" si="1"/>
        <v>264503.8356164383</v>
      </c>
    </row>
    <row r="22" spans="1:14" x14ac:dyDescent="0.25">
      <c r="A22" s="21" t="s">
        <v>66</v>
      </c>
      <c r="B22" s="23">
        <f>'прямая задача 2 (2)'!E12</f>
        <v>68548370</v>
      </c>
      <c r="D22" s="1" t="s">
        <v>92</v>
      </c>
      <c r="E22" s="50">
        <f>$B$21*E19</f>
        <v>121153.30109796998</v>
      </c>
      <c r="F22" s="50">
        <f t="shared" ref="F22:N22" si="2">$B$21*F19</f>
        <v>127210.96615286848</v>
      </c>
      <c r="G22" s="50">
        <f t="shared" si="2"/>
        <v>133268.63120776697</v>
      </c>
      <c r="H22" s="50">
        <f t="shared" si="2"/>
        <v>139326.29626266548</v>
      </c>
      <c r="I22" s="50">
        <f t="shared" si="2"/>
        <v>145383.96131756398</v>
      </c>
      <c r="J22" s="50">
        <f t="shared" si="2"/>
        <v>151441.62637246249</v>
      </c>
      <c r="K22" s="50">
        <f t="shared" si="2"/>
        <v>157499.29142736096</v>
      </c>
      <c r="L22" s="50">
        <f t="shared" si="2"/>
        <v>163556.95648225947</v>
      </c>
      <c r="M22" s="50">
        <f t="shared" si="2"/>
        <v>169614.62153715797</v>
      </c>
      <c r="N22" s="50">
        <f t="shared" si="2"/>
        <v>175672.28659205648</v>
      </c>
    </row>
    <row r="23" spans="1:14" ht="30" x14ac:dyDescent="0.25">
      <c r="A23" s="24" t="s">
        <v>119</v>
      </c>
      <c r="B23" s="1">
        <f>10*6300</f>
        <v>63000</v>
      </c>
      <c r="D23" s="1" t="s">
        <v>93</v>
      </c>
      <c r="E23" s="50">
        <f t="shared" ref="E23:N23" si="3">$B$26</f>
        <v>55550</v>
      </c>
      <c r="F23" s="50">
        <f t="shared" si="3"/>
        <v>55550</v>
      </c>
      <c r="G23" s="50">
        <f t="shared" si="3"/>
        <v>55550</v>
      </c>
      <c r="H23" s="50">
        <f t="shared" si="3"/>
        <v>55550</v>
      </c>
      <c r="I23" s="50">
        <f t="shared" si="3"/>
        <v>55550</v>
      </c>
      <c r="J23" s="50">
        <f t="shared" si="3"/>
        <v>55550</v>
      </c>
      <c r="K23" s="50">
        <f t="shared" si="3"/>
        <v>55550</v>
      </c>
      <c r="L23" s="50">
        <f t="shared" si="3"/>
        <v>55550</v>
      </c>
      <c r="M23" s="50">
        <f t="shared" si="3"/>
        <v>55550</v>
      </c>
      <c r="N23" s="50">
        <f t="shared" si="3"/>
        <v>55550</v>
      </c>
    </row>
    <row r="24" spans="1:14" x14ac:dyDescent="0.25">
      <c r="A24" s="24" t="s">
        <v>120</v>
      </c>
      <c r="B24" s="1">
        <f>B23*0.3</f>
        <v>18900</v>
      </c>
      <c r="D24" s="1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ht="30" x14ac:dyDescent="0.25">
      <c r="A25" s="24" t="s">
        <v>67</v>
      </c>
      <c r="B25" s="1">
        <f>'прямая задача 1'!L18</f>
        <v>3075.0720000000006</v>
      </c>
      <c r="D25" s="1" t="s">
        <v>94</v>
      </c>
      <c r="E25" s="50">
        <f>E22+E23</f>
        <v>176703.30109796999</v>
      </c>
      <c r="F25" s="50">
        <f t="shared" ref="F25:N25" si="4">F22+F23</f>
        <v>182760.96615286847</v>
      </c>
      <c r="G25" s="50">
        <f t="shared" si="4"/>
        <v>188818.63120776697</v>
      </c>
      <c r="H25" s="50">
        <f t="shared" si="4"/>
        <v>194876.29626266548</v>
      </c>
      <c r="I25" s="50">
        <f t="shared" si="4"/>
        <v>200933.96131756398</v>
      </c>
      <c r="J25" s="50">
        <f t="shared" si="4"/>
        <v>206991.62637246249</v>
      </c>
      <c r="K25" s="50">
        <f t="shared" si="4"/>
        <v>213049.29142736096</v>
      </c>
      <c r="L25" s="50">
        <f t="shared" si="4"/>
        <v>219106.95648225947</v>
      </c>
      <c r="M25" s="50">
        <f t="shared" si="4"/>
        <v>225164.62153715797</v>
      </c>
      <c r="N25" s="50">
        <f t="shared" si="4"/>
        <v>231222.28659205648</v>
      </c>
    </row>
    <row r="26" spans="1:14" x14ac:dyDescent="0.25">
      <c r="A26" s="26" t="s">
        <v>68</v>
      </c>
      <c r="B26" s="23">
        <f>SUM(B28:B31)</f>
        <v>55550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ht="28.5" x14ac:dyDescent="0.25">
      <c r="A27" s="26" t="s">
        <v>72</v>
      </c>
      <c r="B27" s="23">
        <f>B26/511</f>
        <v>108.70841487279843</v>
      </c>
    </row>
    <row r="28" spans="1:14" x14ac:dyDescent="0.25">
      <c r="A28" s="56" t="s">
        <v>118</v>
      </c>
      <c r="B28" s="23">
        <f>6*6300</f>
        <v>37800</v>
      </c>
    </row>
    <row r="29" spans="1:14" x14ac:dyDescent="0.25">
      <c r="A29" s="56" t="s">
        <v>120</v>
      </c>
      <c r="B29" s="23">
        <f>B28*0.3</f>
        <v>11340</v>
      </c>
    </row>
    <row r="30" spans="1:14" x14ac:dyDescent="0.25">
      <c r="A30" s="21" t="s">
        <v>69</v>
      </c>
      <c r="B30" s="23">
        <f>'прямая задача 1'!K12</f>
        <v>1410</v>
      </c>
    </row>
    <row r="31" spans="1:14" x14ac:dyDescent="0.25">
      <c r="A31" s="21" t="s">
        <v>70</v>
      </c>
      <c r="B31" s="1">
        <f>'прямая задача 1'!H24</f>
        <v>5000</v>
      </c>
    </row>
    <row r="32" spans="1:14" x14ac:dyDescent="0.25">
      <c r="A32" s="144" t="s">
        <v>136</v>
      </c>
      <c r="B32" s="66">
        <f>B26/(I8-B21)</f>
        <v>18.134885833836329</v>
      </c>
    </row>
    <row r="35" spans="1:7" ht="27" customHeight="1" x14ac:dyDescent="0.25">
      <c r="A35" s="25" t="s">
        <v>73</v>
      </c>
      <c r="E35" s="118"/>
      <c r="F35" s="118"/>
    </row>
    <row r="36" spans="1:7" ht="45" x14ac:dyDescent="0.25">
      <c r="A36" s="29" t="s">
        <v>74</v>
      </c>
      <c r="E36" s="119"/>
      <c r="F36" s="119"/>
    </row>
    <row r="37" spans="1:7" x14ac:dyDescent="0.25">
      <c r="A37" s="122"/>
      <c r="B37" s="122"/>
      <c r="E37" s="120"/>
      <c r="F37" s="121"/>
    </row>
    <row r="38" spans="1:7" x14ac:dyDescent="0.25">
      <c r="A38" s="127"/>
      <c r="B38" s="127"/>
      <c r="E38" s="120"/>
      <c r="F38" s="122"/>
    </row>
    <row r="39" spans="1:7" x14ac:dyDescent="0.25">
      <c r="A39" s="128"/>
      <c r="B39" s="121"/>
      <c r="E39" s="120"/>
      <c r="F39" s="122"/>
    </row>
    <row r="40" spans="1:7" x14ac:dyDescent="0.25">
      <c r="A40" s="129"/>
      <c r="B40" s="122"/>
      <c r="E40" s="120"/>
      <c r="F40" s="113"/>
    </row>
    <row r="41" spans="1:7" x14ac:dyDescent="0.25">
      <c r="A41" s="129"/>
      <c r="B41" s="121"/>
      <c r="E41" s="123"/>
      <c r="F41" s="124"/>
    </row>
    <row r="42" spans="1:7" x14ac:dyDescent="0.25">
      <c r="A42" s="129"/>
      <c r="B42" s="113"/>
      <c r="E42" s="125"/>
      <c r="F42" s="126"/>
      <c r="G42" s="20"/>
    </row>
    <row r="43" spans="1:7" x14ac:dyDescent="0.25">
      <c r="E43" s="5"/>
      <c r="F43" s="5"/>
    </row>
    <row r="48" spans="1:7" ht="15.75" thickBot="1" x14ac:dyDescent="0.3"/>
    <row r="49" spans="1:9" ht="15.75" thickBot="1" x14ac:dyDescent="0.3">
      <c r="A49" s="57" t="s">
        <v>121</v>
      </c>
      <c r="B49" s="70">
        <v>0</v>
      </c>
      <c r="C49" s="70">
        <v>1</v>
      </c>
      <c r="D49" s="70">
        <v>2</v>
      </c>
      <c r="E49" s="70">
        <v>3</v>
      </c>
      <c r="F49" s="80">
        <v>4</v>
      </c>
      <c r="G49" s="81"/>
      <c r="H49" s="70">
        <v>5</v>
      </c>
      <c r="I49" s="59"/>
    </row>
    <row r="50" spans="1:9" ht="15.75" thickBot="1" x14ac:dyDescent="0.3">
      <c r="A50" s="68" t="s">
        <v>122</v>
      </c>
      <c r="B50" s="62">
        <f>-'прямая задача (1)'!B47</f>
        <v>-50281200</v>
      </c>
      <c r="C50" s="69"/>
      <c r="D50" s="69"/>
      <c r="E50" s="69"/>
      <c r="F50" s="69"/>
      <c r="G50" s="80"/>
      <c r="H50" s="81"/>
      <c r="I50" s="59"/>
    </row>
    <row r="51" spans="1:9" ht="15.75" thickBot="1" x14ac:dyDescent="0.3">
      <c r="A51" s="68" t="s">
        <v>123</v>
      </c>
      <c r="B51" s="69"/>
      <c r="C51" s="65">
        <f>B14</f>
        <v>27718714.605413698</v>
      </c>
      <c r="D51" s="62">
        <f>C51</f>
        <v>27718714.605413698</v>
      </c>
      <c r="E51" s="62">
        <f>D51</f>
        <v>27718714.605413698</v>
      </c>
      <c r="F51" s="62">
        <f>E51</f>
        <v>27718714.605413698</v>
      </c>
      <c r="G51" s="82">
        <f>F51</f>
        <v>27718714.605413698</v>
      </c>
      <c r="H51" s="90"/>
      <c r="I51" s="59"/>
    </row>
    <row r="52" spans="1:9" ht="15.75" thickBot="1" x14ac:dyDescent="0.3">
      <c r="A52" s="68" t="s">
        <v>124</v>
      </c>
      <c r="B52" s="62">
        <f>B50</f>
        <v>-50281200</v>
      </c>
      <c r="C52" s="65">
        <f>B52+C51</f>
        <v>-22562485.394586302</v>
      </c>
      <c r="D52" s="62">
        <f>C52+D51</f>
        <v>5156229.2108273953</v>
      </c>
      <c r="E52" s="62">
        <f>D52+E51</f>
        <v>32874943.816241093</v>
      </c>
      <c r="F52" s="62">
        <f>E52+F51</f>
        <v>60593658.421654791</v>
      </c>
      <c r="G52" s="82">
        <f>F52+G51</f>
        <v>88312373.027068496</v>
      </c>
      <c r="H52" s="81"/>
      <c r="I52" s="59"/>
    </row>
    <row r="53" spans="1:9" ht="15.75" thickBot="1" x14ac:dyDescent="0.3">
      <c r="A53" s="68" t="s">
        <v>127</v>
      </c>
      <c r="B53" s="69"/>
      <c r="C53" s="69">
        <v>0.90900000000000003</v>
      </c>
      <c r="D53" s="69">
        <v>0.82599999999999996</v>
      </c>
      <c r="E53" s="69">
        <v>0.751</v>
      </c>
      <c r="F53" s="69">
        <v>0.68300000000000005</v>
      </c>
      <c r="G53" s="80">
        <v>0.621</v>
      </c>
      <c r="H53" s="81"/>
      <c r="I53" s="64"/>
    </row>
    <row r="54" spans="1:9" ht="15.75" thickBot="1" x14ac:dyDescent="0.3">
      <c r="A54" s="68" t="s">
        <v>125</v>
      </c>
      <c r="B54" s="69"/>
      <c r="C54" s="69">
        <f>C51*C53</f>
        <v>25196311.576321051</v>
      </c>
      <c r="D54" s="69">
        <f>D51*D53</f>
        <v>22895658.264071714</v>
      </c>
      <c r="E54" s="69">
        <f>E51*E53</f>
        <v>20816754.668665688</v>
      </c>
      <c r="F54" s="69">
        <f>F51*F53</f>
        <v>18931882.075497556</v>
      </c>
      <c r="G54" s="80">
        <f>G51*G53</f>
        <v>17213321.769961905</v>
      </c>
      <c r="H54" s="81"/>
      <c r="I54" s="69">
        <f>SUM(C54:H54)</f>
        <v>105053928.35451792</v>
      </c>
    </row>
    <row r="55" spans="1:9" x14ac:dyDescent="0.25">
      <c r="A55" s="83" t="s">
        <v>126</v>
      </c>
      <c r="B55" s="85">
        <f>B52</f>
        <v>-50281200</v>
      </c>
      <c r="C55" s="85">
        <f>B55+C54</f>
        <v>-25084888.423678949</v>
      </c>
      <c r="D55" s="85">
        <f>C55+D54</f>
        <v>-2189230.1596072353</v>
      </c>
      <c r="E55" s="85">
        <f>D55+E54</f>
        <v>18627524.509058453</v>
      </c>
      <c r="F55" s="85">
        <f>E55+F54</f>
        <v>37559406.584556013</v>
      </c>
      <c r="G55" s="86">
        <f>F55+G54</f>
        <v>54772728.354517922</v>
      </c>
      <c r="H55" s="87"/>
      <c r="I55" s="78"/>
    </row>
    <row r="56" spans="1:9" ht="15.75" thickBot="1" x14ac:dyDescent="0.3">
      <c r="A56" s="84"/>
      <c r="B56" s="84"/>
      <c r="C56" s="84"/>
      <c r="D56" s="84"/>
      <c r="E56" s="84"/>
      <c r="F56" s="84"/>
      <c r="G56" s="88"/>
      <c r="H56" s="89"/>
      <c r="I56" s="79"/>
    </row>
    <row r="57" spans="1:9" ht="15.75" thickBot="1" x14ac:dyDescent="0.3">
      <c r="A57" s="68" t="s">
        <v>128</v>
      </c>
      <c r="B57" s="69"/>
      <c r="C57" s="69">
        <v>0.82599999999999996</v>
      </c>
      <c r="D57" s="69">
        <v>0.68300000000000005</v>
      </c>
      <c r="E57" s="69">
        <v>0.56399999999999995</v>
      </c>
      <c r="F57" s="69">
        <v>0.46700000000000003</v>
      </c>
      <c r="G57" s="80">
        <v>0.38600000000000001</v>
      </c>
      <c r="H57" s="81"/>
      <c r="I57" s="64"/>
    </row>
    <row r="58" spans="1:9" ht="15.75" thickBot="1" x14ac:dyDescent="0.3">
      <c r="A58" s="68" t="s">
        <v>129</v>
      </c>
      <c r="B58" s="69"/>
      <c r="C58" s="69">
        <f>C51*C57</f>
        <v>22895658.264071714</v>
      </c>
      <c r="D58" s="69">
        <f>D51*D57</f>
        <v>18931882.075497556</v>
      </c>
      <c r="E58" s="69">
        <f>E51*E57</f>
        <v>15633355.037453324</v>
      </c>
      <c r="F58" s="69">
        <f>F51*F57</f>
        <v>12944639.720728198</v>
      </c>
      <c r="G58" s="80">
        <f>G51*G57</f>
        <v>10699423.837689688</v>
      </c>
      <c r="H58" s="81"/>
      <c r="I58" s="69">
        <f>SUM(C58:H58)</f>
        <v>81104958.935440481</v>
      </c>
    </row>
    <row r="59" spans="1:9" ht="26.25" thickBot="1" x14ac:dyDescent="0.3">
      <c r="A59" s="68" t="s">
        <v>126</v>
      </c>
      <c r="B59" s="62">
        <f>B55</f>
        <v>-50281200</v>
      </c>
      <c r="C59" s="62">
        <f>B59+C58</f>
        <v>-27385541.735928286</v>
      </c>
      <c r="D59" s="62">
        <f>C59+D58</f>
        <v>-8453659.6604307294</v>
      </c>
      <c r="E59" s="62">
        <f>D59+E58</f>
        <v>7179695.3770225942</v>
      </c>
      <c r="F59" s="62">
        <f>E59+F58</f>
        <v>20124335.09775079</v>
      </c>
      <c r="G59" s="82">
        <f>F59+G58</f>
        <v>30823758.935440481</v>
      </c>
      <c r="H59" s="81"/>
      <c r="I59" s="59"/>
    </row>
    <row r="62" spans="1:9" ht="18.75" x14ac:dyDescent="0.25">
      <c r="A62" s="18"/>
    </row>
    <row r="63" spans="1:9" x14ac:dyDescent="0.25">
      <c r="A63" t="s">
        <v>144</v>
      </c>
      <c r="B63">
        <f>1+D52/E51</f>
        <v>1.1860197806510242</v>
      </c>
    </row>
    <row r="65" spans="1:2" x14ac:dyDescent="0.25">
      <c r="A65" t="s">
        <v>130</v>
      </c>
      <c r="B65">
        <f>2+E55/F54</f>
        <v>2.9839235441449841</v>
      </c>
    </row>
    <row r="67" spans="1:2" x14ac:dyDescent="0.25">
      <c r="A67" t="s">
        <v>142</v>
      </c>
      <c r="B67" s="61">
        <f>I54+B59</f>
        <v>54772728.354517922</v>
      </c>
    </row>
    <row r="69" spans="1:2" x14ac:dyDescent="0.25">
      <c r="A69" t="s">
        <v>143</v>
      </c>
      <c r="B69">
        <f>B67/-B52</f>
        <v>1.089328185375805</v>
      </c>
    </row>
    <row r="70" spans="1:2" x14ac:dyDescent="0.25">
      <c r="B70" s="61"/>
    </row>
    <row r="71" spans="1:2" ht="18.75" x14ac:dyDescent="0.25">
      <c r="A71" s="18"/>
    </row>
    <row r="72" spans="1:2" ht="18.75" x14ac:dyDescent="0.25">
      <c r="A72" s="18"/>
    </row>
    <row r="73" spans="1:2" ht="18.75" x14ac:dyDescent="0.25">
      <c r="A73" s="18"/>
    </row>
    <row r="74" spans="1:2" ht="18.75" x14ac:dyDescent="0.25">
      <c r="A74" s="18"/>
    </row>
    <row r="75" spans="1:2" ht="18.75" x14ac:dyDescent="0.25">
      <c r="A75" s="18"/>
    </row>
    <row r="76" spans="1:2" ht="18.75" x14ac:dyDescent="0.25">
      <c r="A76" s="18"/>
    </row>
  </sheetData>
  <mergeCells count="26">
    <mergeCell ref="I55:I56"/>
    <mergeCell ref="G57:H57"/>
    <mergeCell ref="G58:H58"/>
    <mergeCell ref="G59:H59"/>
    <mergeCell ref="G52:H52"/>
    <mergeCell ref="G53:H53"/>
    <mergeCell ref="G54:H54"/>
    <mergeCell ref="A55:A56"/>
    <mergeCell ref="B55:B56"/>
    <mergeCell ref="C55:C56"/>
    <mergeCell ref="D55:D56"/>
    <mergeCell ref="E55:E56"/>
    <mergeCell ref="F55:F56"/>
    <mergeCell ref="G55:H56"/>
    <mergeCell ref="E8:H8"/>
    <mergeCell ref="E35:F35"/>
    <mergeCell ref="A38:B38"/>
    <mergeCell ref="F49:G49"/>
    <mergeCell ref="G50:H50"/>
    <mergeCell ref="G51:H51"/>
    <mergeCell ref="A1:B1"/>
    <mergeCell ref="E3:H3"/>
    <mergeCell ref="E4:H4"/>
    <mergeCell ref="E5:H5"/>
    <mergeCell ref="E6:H6"/>
    <mergeCell ref="E7:H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8433" r:id="rId4">
          <objectPr defaultSize="0" autoPict="0" altText="" r:id="rId5">
            <anchor moveWithCells="1" sizeWithCells="1">
              <from>
                <xdr:col>3</xdr:col>
                <xdr:colOff>47625</xdr:colOff>
                <xdr:row>1</xdr:row>
                <xdr:rowOff>57150</xdr:rowOff>
              </from>
              <to>
                <xdr:col>3</xdr:col>
                <xdr:colOff>1285875</xdr:colOff>
                <xdr:row>2</xdr:row>
                <xdr:rowOff>95250</xdr:rowOff>
              </to>
            </anchor>
          </objectPr>
        </oleObject>
      </mc:Choice>
      <mc:Fallback>
        <oleObject progId="Equation.3" shapeId="18433" r:id="rId4"/>
      </mc:Fallback>
    </mc:AlternateContent>
  </oleObjects>
  <controls>
    <mc:AlternateContent xmlns:mc="http://schemas.openxmlformats.org/markup-compatibility/2006">
      <mc:Choice Requires="x14">
        <control shapeId="18444" r:id="rId6" name="Control 12">
          <controlPr defaultSize="0" r:id="rId7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44" r:id="rId6" name="Control 12"/>
      </mc:Fallback>
    </mc:AlternateContent>
    <mc:AlternateContent xmlns:mc="http://schemas.openxmlformats.org/markup-compatibility/2006">
      <mc:Choice Requires="x14">
        <control shapeId="18443" r:id="rId8" name="Control 11">
          <controlPr defaultSize="0" r:id="rId7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43" r:id="rId8" name="Control 11"/>
      </mc:Fallback>
    </mc:AlternateContent>
    <mc:AlternateContent xmlns:mc="http://schemas.openxmlformats.org/markup-compatibility/2006">
      <mc:Choice Requires="x14">
        <control shapeId="18442" r:id="rId9" name="Control 10">
          <controlPr defaultSize="0" r:id="rId7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42" r:id="rId9" name="Control 10"/>
      </mc:Fallback>
    </mc:AlternateContent>
    <mc:AlternateContent xmlns:mc="http://schemas.openxmlformats.org/markup-compatibility/2006">
      <mc:Choice Requires="x14">
        <control shapeId="18441" r:id="rId10" name="Control 9">
          <controlPr defaultSize="0" r:id="rId7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41" r:id="rId10" name="Control 9"/>
      </mc:Fallback>
    </mc:AlternateContent>
    <mc:AlternateContent xmlns:mc="http://schemas.openxmlformats.org/markup-compatibility/2006">
      <mc:Choice Requires="x14">
        <control shapeId="18440" r:id="rId11" name="Control 8">
          <controlPr defaultSize="0" r:id="rId7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40" r:id="rId11" name="Control 8"/>
      </mc:Fallback>
    </mc:AlternateContent>
    <mc:AlternateContent xmlns:mc="http://schemas.openxmlformats.org/markup-compatibility/2006">
      <mc:Choice Requires="x14">
        <control shapeId="18439" r:id="rId12" name="Control 7">
          <controlPr defaultSize="0" r:id="rId13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39" r:id="rId12" name="Control 7"/>
      </mc:Fallback>
    </mc:AlternateContent>
    <mc:AlternateContent xmlns:mc="http://schemas.openxmlformats.org/markup-compatibility/2006">
      <mc:Choice Requires="x14">
        <control shapeId="18438" r:id="rId14" name="Control 6">
          <controlPr defaultSize="0" r:id="rId15">
            <anchor mov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38" r:id="rId14" name="Control 6"/>
      </mc:Fallback>
    </mc:AlternateContent>
    <mc:AlternateContent xmlns:mc="http://schemas.openxmlformats.org/markup-compatibility/2006">
      <mc:Choice Requires="x14">
        <control shapeId="18437" r:id="rId16" name="Control 5">
          <controlPr defaultSize="0" r:id="rId17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37" r:id="rId16" name="Control 5"/>
      </mc:Fallback>
    </mc:AlternateContent>
    <mc:AlternateContent xmlns:mc="http://schemas.openxmlformats.org/markup-compatibility/2006">
      <mc:Choice Requires="x14">
        <control shapeId="18436" r:id="rId18" name="Control 4">
          <controlPr defaultSize="0" r:id="rId19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36" r:id="rId18" name="Control 4"/>
      </mc:Fallback>
    </mc:AlternateContent>
    <mc:AlternateContent xmlns:mc="http://schemas.openxmlformats.org/markup-compatibility/2006">
      <mc:Choice Requires="x14">
        <control shapeId="18435" r:id="rId20" name="Control 3">
          <controlPr defaultSize="0" r:id="rId21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762000</xdr:colOff>
                <xdr:row>34</xdr:row>
                <xdr:rowOff>38100</xdr:rowOff>
              </to>
            </anchor>
          </controlPr>
        </control>
      </mc:Choice>
      <mc:Fallback>
        <control shapeId="18435" r:id="rId20" name="Control 3"/>
      </mc:Fallback>
    </mc:AlternateContent>
    <mc:AlternateContent xmlns:mc="http://schemas.openxmlformats.org/markup-compatibility/2006">
      <mc:Choice Requires="x14">
        <control shapeId="18434" r:id="rId22" name="Control 2">
          <controlPr defaultSize="0" r:id="rId23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533400</xdr:colOff>
                <xdr:row>34</xdr:row>
                <xdr:rowOff>38100</xdr:rowOff>
              </to>
            </anchor>
          </controlPr>
        </control>
      </mc:Choice>
      <mc:Fallback>
        <control shapeId="18434" r:id="rId22" name="Control 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="110" zoomScaleNormal="110" workbookViewId="0">
      <selection activeCell="A46" sqref="A46:B52"/>
    </sheetView>
  </sheetViews>
  <sheetFormatPr defaultRowHeight="15" x14ac:dyDescent="0.25"/>
  <cols>
    <col min="1" max="1" width="35.85546875" customWidth="1"/>
    <col min="2" max="2" width="27.140625" customWidth="1"/>
    <col min="3" max="3" width="13.7109375" customWidth="1"/>
    <col min="4" max="4" width="14.140625" customWidth="1"/>
    <col min="5" max="5" width="13.5703125" customWidth="1"/>
    <col min="6" max="6" width="15.140625" customWidth="1"/>
    <col min="9" max="9" width="23.42578125" customWidth="1"/>
  </cols>
  <sheetData>
    <row r="1" spans="1:9" x14ac:dyDescent="0.25">
      <c r="A1" s="105" t="s">
        <v>110</v>
      </c>
      <c r="B1" s="105"/>
    </row>
    <row r="2" spans="1:9" ht="18.75" customHeight="1" x14ac:dyDescent="0.25">
      <c r="A2" s="19" t="s">
        <v>41</v>
      </c>
      <c r="B2" s="19" t="s">
        <v>32</v>
      </c>
      <c r="E2" s="98" t="s">
        <v>41</v>
      </c>
      <c r="F2" s="99"/>
      <c r="G2" s="99"/>
      <c r="H2" s="100"/>
      <c r="I2" s="19" t="s">
        <v>107</v>
      </c>
    </row>
    <row r="3" spans="1:9" x14ac:dyDescent="0.25">
      <c r="A3" s="21" t="s">
        <v>111</v>
      </c>
      <c r="B3" s="49">
        <v>30000000</v>
      </c>
      <c r="E3" s="101" t="s">
        <v>56</v>
      </c>
      <c r="F3" s="102"/>
      <c r="G3" s="102"/>
      <c r="H3" s="103"/>
      <c r="I3" s="22">
        <f>'прямая задача 2 (3)'!I4</f>
        <v>6050.1650485436894</v>
      </c>
    </row>
    <row r="4" spans="1:9" x14ac:dyDescent="0.25">
      <c r="A4" s="21" t="s">
        <v>112</v>
      </c>
      <c r="B4" s="53">
        <f>B3*20/80</f>
        <v>7500000</v>
      </c>
      <c r="E4" s="92" t="s">
        <v>57</v>
      </c>
      <c r="F4" s="93"/>
      <c r="G4" s="93"/>
      <c r="H4" s="94"/>
      <c r="I4" s="23">
        <f>'прямая задача 2 (3)'!I5</f>
        <v>3.1780821917808217</v>
      </c>
    </row>
    <row r="5" spans="1:9" x14ac:dyDescent="0.25">
      <c r="A5" s="21" t="s">
        <v>113</v>
      </c>
      <c r="B5" s="53">
        <f>B4+B3</f>
        <v>37500000</v>
      </c>
      <c r="E5" s="92" t="s">
        <v>59</v>
      </c>
      <c r="F5" s="93"/>
      <c r="G5" s="93"/>
      <c r="H5" s="94"/>
      <c r="I5" s="23">
        <v>7500</v>
      </c>
    </row>
    <row r="6" spans="1:9" ht="30" customHeight="1" x14ac:dyDescent="0.25">
      <c r="A6" s="24" t="s">
        <v>46</v>
      </c>
      <c r="B6" s="23">
        <f>'прямая задача 2 (3)'!B7</f>
        <v>1624</v>
      </c>
      <c r="E6" s="95" t="s">
        <v>60</v>
      </c>
      <c r="F6" s="96"/>
      <c r="G6" s="96"/>
      <c r="H6" s="97"/>
      <c r="I6" s="23">
        <f>'прямая задача 2 (3)'!I7</f>
        <v>1446.6568692645299</v>
      </c>
    </row>
    <row r="7" spans="1:9" ht="30" x14ac:dyDescent="0.25">
      <c r="A7" s="24" t="s">
        <v>114</v>
      </c>
      <c r="B7" s="53">
        <f>B5+B6</f>
        <v>37501624</v>
      </c>
      <c r="E7" s="104" t="s">
        <v>58</v>
      </c>
      <c r="F7" s="104"/>
      <c r="G7" s="104"/>
      <c r="H7" s="104"/>
      <c r="I7" s="66">
        <f>I3+I6+B6</f>
        <v>9120.8219178082181</v>
      </c>
    </row>
    <row r="8" spans="1:9" x14ac:dyDescent="0.25">
      <c r="A8" s="21" t="s">
        <v>115</v>
      </c>
      <c r="B8" s="53">
        <f>B6+B7</f>
        <v>37503248</v>
      </c>
    </row>
    <row r="9" spans="1:9" x14ac:dyDescent="0.25">
      <c r="A9" s="21" t="s">
        <v>116</v>
      </c>
      <c r="B9" s="54">
        <f>A14*I3*22</f>
        <v>73893257.995580733</v>
      </c>
    </row>
    <row r="10" spans="1:9" x14ac:dyDescent="0.25">
      <c r="A10" s="21" t="s">
        <v>117</v>
      </c>
      <c r="B10" s="53">
        <f>B8+B9</f>
        <v>111396505.99558073</v>
      </c>
      <c r="E10" s="108"/>
      <c r="F10" s="108"/>
      <c r="G10" s="108"/>
      <c r="H10" s="108"/>
      <c r="I10" s="109"/>
    </row>
    <row r="11" spans="1:9" x14ac:dyDescent="0.25">
      <c r="A11" s="21" t="s">
        <v>61</v>
      </c>
      <c r="B11" s="55">
        <f>B3/B9*100</f>
        <v>40.599103103282005</v>
      </c>
      <c r="E11" s="110"/>
      <c r="F11" s="110"/>
      <c r="G11" s="110"/>
      <c r="H11" s="110"/>
      <c r="I11" s="111"/>
    </row>
    <row r="12" spans="1:9" x14ac:dyDescent="0.25">
      <c r="E12" s="112"/>
      <c r="F12" s="112"/>
      <c r="G12" s="112"/>
      <c r="H12" s="112"/>
      <c r="I12" s="113"/>
    </row>
    <row r="13" spans="1:9" x14ac:dyDescent="0.25">
      <c r="A13" s="67">
        <f>I7-I3</f>
        <v>3070.6568692645287</v>
      </c>
      <c r="E13" s="112"/>
      <c r="F13" s="112"/>
      <c r="G13" s="112"/>
      <c r="H13" s="112"/>
      <c r="I13" s="113"/>
    </row>
    <row r="14" spans="1:9" x14ac:dyDescent="0.25">
      <c r="A14" s="116">
        <f>B8/A13/22</f>
        <v>555.15583912096054</v>
      </c>
      <c r="B14" t="s">
        <v>138</v>
      </c>
      <c r="E14" s="114"/>
      <c r="F14" s="114"/>
      <c r="G14" s="114"/>
      <c r="H14" s="114"/>
      <c r="I14" s="113"/>
    </row>
    <row r="15" spans="1:9" x14ac:dyDescent="0.25">
      <c r="E15" s="115"/>
      <c r="F15" s="115"/>
      <c r="G15" s="115"/>
      <c r="H15" s="115"/>
      <c r="I15" s="113"/>
    </row>
    <row r="17" spans="1:2" ht="28.5" x14ac:dyDescent="0.25">
      <c r="A17" s="25" t="s">
        <v>64</v>
      </c>
    </row>
    <row r="18" spans="1:2" x14ac:dyDescent="0.25">
      <c r="A18" s="19" t="s">
        <v>41</v>
      </c>
      <c r="B18" s="19" t="s">
        <v>32</v>
      </c>
    </row>
    <row r="19" spans="1:2" x14ac:dyDescent="0.25">
      <c r="A19" s="26" t="s">
        <v>65</v>
      </c>
      <c r="B19" s="23">
        <f>SUM(B21:B24)</f>
        <v>73977354.475580737</v>
      </c>
    </row>
    <row r="20" spans="1:2" ht="28.5" x14ac:dyDescent="0.25">
      <c r="A20" s="26" t="s">
        <v>71</v>
      </c>
      <c r="B20" s="23">
        <f>B19/(552.6*22)</f>
        <v>6085.0651856990698</v>
      </c>
    </row>
    <row r="21" spans="1:2" x14ac:dyDescent="0.25">
      <c r="A21" s="21" t="s">
        <v>66</v>
      </c>
      <c r="B21" s="23">
        <f>B9</f>
        <v>73893257.995580733</v>
      </c>
    </row>
    <row r="22" spans="1:2" ht="30" x14ac:dyDescent="0.25">
      <c r="A22" s="24" t="s">
        <v>119</v>
      </c>
      <c r="B22" s="1">
        <f>10*6300</f>
        <v>63000</v>
      </c>
    </row>
    <row r="23" spans="1:2" x14ac:dyDescent="0.25">
      <c r="A23" s="24" t="s">
        <v>120</v>
      </c>
      <c r="B23" s="1">
        <f>B22*0.3</f>
        <v>18900</v>
      </c>
    </row>
    <row r="24" spans="1:2" ht="30" x14ac:dyDescent="0.25">
      <c r="A24" s="24" t="s">
        <v>67</v>
      </c>
      <c r="B24" s="1">
        <f>'прямая задача 1'!L17</f>
        <v>2196.4800000000005</v>
      </c>
    </row>
    <row r="25" spans="1:2" x14ac:dyDescent="0.25">
      <c r="A25" s="26" t="s">
        <v>68</v>
      </c>
      <c r="B25" s="23">
        <f>SUM(B27:B30)</f>
        <v>55550</v>
      </c>
    </row>
    <row r="26" spans="1:2" ht="28.5" x14ac:dyDescent="0.25">
      <c r="A26" s="26" t="s">
        <v>72</v>
      </c>
      <c r="B26" s="23">
        <f>B25/511</f>
        <v>108.70841487279843</v>
      </c>
    </row>
    <row r="27" spans="1:2" x14ac:dyDescent="0.25">
      <c r="A27" s="56" t="s">
        <v>118</v>
      </c>
      <c r="B27" s="23">
        <f>6*6300</f>
        <v>37800</v>
      </c>
    </row>
    <row r="28" spans="1:2" x14ac:dyDescent="0.25">
      <c r="A28" s="56" t="s">
        <v>120</v>
      </c>
      <c r="B28" s="23">
        <f>B27*0.3</f>
        <v>11340</v>
      </c>
    </row>
    <row r="29" spans="1:2" x14ac:dyDescent="0.25">
      <c r="A29" s="21" t="s">
        <v>69</v>
      </c>
      <c r="B29" s="23">
        <f>'прямая задача 2 (3)'!B30</f>
        <v>1410</v>
      </c>
    </row>
    <row r="30" spans="1:2" x14ac:dyDescent="0.25">
      <c r="A30" s="21" t="s">
        <v>70</v>
      </c>
      <c r="B30" s="1">
        <v>5000</v>
      </c>
    </row>
    <row r="31" spans="1:2" x14ac:dyDescent="0.25">
      <c r="A31" s="27" t="s">
        <v>136</v>
      </c>
      <c r="B31" s="28">
        <f>B25/(I7-B20)</f>
        <v>18.298567672583438</v>
      </c>
    </row>
    <row r="33" spans="1:9" ht="15.75" thickBot="1" x14ac:dyDescent="0.3"/>
    <row r="34" spans="1:9" ht="15.75" thickBot="1" x14ac:dyDescent="0.3">
      <c r="A34" s="57" t="s">
        <v>121</v>
      </c>
      <c r="B34" s="70">
        <v>0</v>
      </c>
      <c r="C34" s="70">
        <v>1</v>
      </c>
      <c r="D34" s="70">
        <v>2</v>
      </c>
      <c r="E34" s="70">
        <v>3</v>
      </c>
      <c r="F34" s="80">
        <v>4</v>
      </c>
      <c r="G34" s="81"/>
      <c r="H34" s="70">
        <v>5</v>
      </c>
      <c r="I34" s="59"/>
    </row>
    <row r="35" spans="1:9" ht="15.75" thickBot="1" x14ac:dyDescent="0.3">
      <c r="A35" s="68" t="s">
        <v>122</v>
      </c>
      <c r="B35" s="62">
        <f>'прямая задача 2 (3)'!B50</f>
        <v>-50281200</v>
      </c>
      <c r="C35" s="69"/>
      <c r="D35" s="69"/>
      <c r="E35" s="69"/>
      <c r="F35" s="69"/>
      <c r="G35" s="80"/>
      <c r="H35" s="81"/>
      <c r="I35" s="59"/>
    </row>
    <row r="36" spans="1:9" ht="15.75" thickBot="1" x14ac:dyDescent="0.3">
      <c r="A36" s="68" t="s">
        <v>123</v>
      </c>
      <c r="B36" s="69"/>
      <c r="C36" s="117">
        <f>B3</f>
        <v>30000000</v>
      </c>
      <c r="D36" s="62">
        <f>C36</f>
        <v>30000000</v>
      </c>
      <c r="E36" s="62">
        <f>D36</f>
        <v>30000000</v>
      </c>
      <c r="F36" s="62">
        <f>E36</f>
        <v>30000000</v>
      </c>
      <c r="G36" s="82">
        <f>F36</f>
        <v>30000000</v>
      </c>
      <c r="H36" s="90"/>
      <c r="I36" s="59"/>
    </row>
    <row r="37" spans="1:9" ht="15.75" thickBot="1" x14ac:dyDescent="0.3">
      <c r="A37" s="68" t="s">
        <v>124</v>
      </c>
      <c r="B37" s="62">
        <f>B35</f>
        <v>-50281200</v>
      </c>
      <c r="C37" s="65">
        <f>B37+C36</f>
        <v>-20281200</v>
      </c>
      <c r="D37" s="62">
        <f>C37+D36</f>
        <v>9718800</v>
      </c>
      <c r="E37" s="62">
        <f>D37+E36</f>
        <v>39718800</v>
      </c>
      <c r="F37" s="62">
        <f>E37+F36</f>
        <v>69718800</v>
      </c>
      <c r="G37" s="82">
        <f>F37+G36</f>
        <v>99718800</v>
      </c>
      <c r="H37" s="81"/>
      <c r="I37" s="59"/>
    </row>
    <row r="38" spans="1:9" ht="26.25" thickBot="1" x14ac:dyDescent="0.3">
      <c r="A38" s="68" t="s">
        <v>127</v>
      </c>
      <c r="B38" s="69"/>
      <c r="C38" s="69">
        <v>0.90900000000000003</v>
      </c>
      <c r="D38" s="69">
        <v>0.82599999999999996</v>
      </c>
      <c r="E38" s="69">
        <v>0.751</v>
      </c>
      <c r="F38" s="69">
        <v>0.68300000000000005</v>
      </c>
      <c r="G38" s="80">
        <v>0.621</v>
      </c>
      <c r="H38" s="81"/>
      <c r="I38" s="64"/>
    </row>
    <row r="39" spans="1:9" ht="15.75" thickBot="1" x14ac:dyDescent="0.3">
      <c r="A39" s="68" t="s">
        <v>125</v>
      </c>
      <c r="B39" s="69"/>
      <c r="C39" s="69">
        <f>C36*C38</f>
        <v>27270000</v>
      </c>
      <c r="D39" s="69">
        <f>D36*D38</f>
        <v>24780000</v>
      </c>
      <c r="E39" s="69">
        <f>E36*E38</f>
        <v>22530000</v>
      </c>
      <c r="F39" s="69">
        <f>F36*F38</f>
        <v>20490000</v>
      </c>
      <c r="G39" s="80">
        <f>G36*G38</f>
        <v>18630000</v>
      </c>
      <c r="H39" s="81"/>
      <c r="I39" s="69">
        <f>SUM(C39:H39)</f>
        <v>113700000</v>
      </c>
    </row>
    <row r="40" spans="1:9" x14ac:dyDescent="0.25">
      <c r="A40" s="83" t="s">
        <v>126</v>
      </c>
      <c r="B40" s="85">
        <f>B37</f>
        <v>-50281200</v>
      </c>
      <c r="C40" s="85">
        <f>B40+C39</f>
        <v>-23011200</v>
      </c>
      <c r="D40" s="85">
        <f>C40+D39</f>
        <v>1768800</v>
      </c>
      <c r="E40" s="85">
        <f>D40+E39</f>
        <v>24298800</v>
      </c>
      <c r="F40" s="85">
        <f>E40+F39</f>
        <v>44788800</v>
      </c>
      <c r="G40" s="86">
        <f>F40+G39</f>
        <v>63418800</v>
      </c>
      <c r="H40" s="87"/>
      <c r="I40" s="78"/>
    </row>
    <row r="41" spans="1:9" ht="15.75" thickBot="1" x14ac:dyDescent="0.3">
      <c r="A41" s="84"/>
      <c r="B41" s="84"/>
      <c r="C41" s="84"/>
      <c r="D41" s="84"/>
      <c r="E41" s="84"/>
      <c r="F41" s="84"/>
      <c r="G41" s="88"/>
      <c r="H41" s="89"/>
      <c r="I41" s="79"/>
    </row>
    <row r="42" spans="1:9" ht="15.75" thickBot="1" x14ac:dyDescent="0.3">
      <c r="A42" s="68" t="s">
        <v>128</v>
      </c>
      <c r="B42" s="69"/>
      <c r="C42" s="69">
        <v>0.82599999999999996</v>
      </c>
      <c r="D42" s="69">
        <v>0.68300000000000005</v>
      </c>
      <c r="E42" s="69">
        <v>0.56399999999999995</v>
      </c>
      <c r="F42" s="69">
        <v>0.46700000000000003</v>
      </c>
      <c r="G42" s="80">
        <v>0.38600000000000001</v>
      </c>
      <c r="H42" s="81"/>
      <c r="I42" s="64"/>
    </row>
    <row r="43" spans="1:9" ht="15.75" thickBot="1" x14ac:dyDescent="0.3">
      <c r="A43" s="68" t="s">
        <v>129</v>
      </c>
      <c r="B43" s="69"/>
      <c r="C43" s="69">
        <f>C36*C42</f>
        <v>24780000</v>
      </c>
      <c r="D43" s="69">
        <f>D36*D42</f>
        <v>20490000</v>
      </c>
      <c r="E43" s="69">
        <f>E36*E42</f>
        <v>16920000</v>
      </c>
      <c r="F43" s="69">
        <f>F36*F42</f>
        <v>14010000</v>
      </c>
      <c r="G43" s="80">
        <f>G36*G42</f>
        <v>11580000</v>
      </c>
      <c r="H43" s="81"/>
      <c r="I43" s="69">
        <f>SUM(C43:H43)</f>
        <v>87780000</v>
      </c>
    </row>
    <row r="44" spans="1:9" ht="26.25" thickBot="1" x14ac:dyDescent="0.3">
      <c r="A44" s="68" t="s">
        <v>126</v>
      </c>
      <c r="B44" s="62">
        <f>B40</f>
        <v>-50281200</v>
      </c>
      <c r="C44" s="62">
        <f>B44+C43</f>
        <v>-25501200</v>
      </c>
      <c r="D44" s="62">
        <f>C44+D43</f>
        <v>-5011200</v>
      </c>
      <c r="E44" s="62">
        <f>D44+E43</f>
        <v>11908800</v>
      </c>
      <c r="F44" s="62">
        <f>E44+F43</f>
        <v>25918800</v>
      </c>
      <c r="G44" s="82">
        <f>F44+G43</f>
        <v>37498800</v>
      </c>
      <c r="H44" s="81"/>
      <c r="I44" s="59"/>
    </row>
    <row r="46" spans="1:9" ht="30" x14ac:dyDescent="0.25">
      <c r="A46" s="133" t="s">
        <v>147</v>
      </c>
      <c r="B46">
        <f>1+D37/E36</f>
        <v>1.32396</v>
      </c>
    </row>
    <row r="48" spans="1:9" x14ac:dyDescent="0.25">
      <c r="A48" t="s">
        <v>130</v>
      </c>
      <c r="B48">
        <f>1+D40/E39</f>
        <v>1.078508655126498</v>
      </c>
    </row>
    <row r="50" spans="1:2" x14ac:dyDescent="0.25">
      <c r="A50" t="s">
        <v>142</v>
      </c>
      <c r="B50" s="61">
        <f>I39+B35</f>
        <v>63418800</v>
      </c>
    </row>
    <row r="52" spans="1:2" x14ac:dyDescent="0.25">
      <c r="A52" t="s">
        <v>143</v>
      </c>
      <c r="B52">
        <f>B50/-B35</f>
        <v>1.2612825469559199</v>
      </c>
    </row>
  </sheetData>
  <mergeCells count="30">
    <mergeCell ref="I40:I41"/>
    <mergeCell ref="G42:H42"/>
    <mergeCell ref="G43:H43"/>
    <mergeCell ref="G44:H44"/>
    <mergeCell ref="G38:H38"/>
    <mergeCell ref="G39:H39"/>
    <mergeCell ref="A40:A41"/>
    <mergeCell ref="B40:B41"/>
    <mergeCell ref="C40:C41"/>
    <mergeCell ref="D40:D41"/>
    <mergeCell ref="E40:E41"/>
    <mergeCell ref="F40:F41"/>
    <mergeCell ref="G40:H41"/>
    <mergeCell ref="E15:H15"/>
    <mergeCell ref="F34:G34"/>
    <mergeCell ref="G35:H35"/>
    <mergeCell ref="G36:H36"/>
    <mergeCell ref="G37:H37"/>
    <mergeCell ref="E10:H10"/>
    <mergeCell ref="E11:H11"/>
    <mergeCell ref="E12:H12"/>
    <mergeCell ref="E13:H13"/>
    <mergeCell ref="E14:H14"/>
    <mergeCell ref="E7:H7"/>
    <mergeCell ref="A1:B1"/>
    <mergeCell ref="E2:H2"/>
    <mergeCell ref="E3:H3"/>
    <mergeCell ref="E4:H4"/>
    <mergeCell ref="E5:H5"/>
    <mergeCell ref="E6:H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7" sqref="B7"/>
    </sheetView>
  </sheetViews>
  <sheetFormatPr defaultRowHeight="15" x14ac:dyDescent="0.25"/>
  <cols>
    <col min="1" max="1" width="28.7109375" customWidth="1"/>
    <col min="2" max="2" width="17" customWidth="1"/>
    <col min="3" max="3" width="20.85546875" customWidth="1"/>
    <col min="4" max="4" width="20.42578125" customWidth="1"/>
  </cols>
  <sheetData>
    <row r="1" spans="1:4" ht="15.75" thickBot="1" x14ac:dyDescent="0.3">
      <c r="A1" s="31" t="s">
        <v>78</v>
      </c>
    </row>
    <row r="2" spans="1:4" ht="15.75" thickBot="1" x14ac:dyDescent="0.3">
      <c r="A2" s="34" t="s">
        <v>79</v>
      </c>
      <c r="B2" s="34" t="s">
        <v>131</v>
      </c>
      <c r="C2" s="35" t="s">
        <v>132</v>
      </c>
      <c r="D2" s="35" t="s">
        <v>80</v>
      </c>
    </row>
    <row r="3" spans="1:4" ht="24.75" customHeight="1" thickBot="1" x14ac:dyDescent="0.3">
      <c r="A3" s="32" t="s">
        <v>81</v>
      </c>
      <c r="B3" s="135">
        <v>511</v>
      </c>
      <c r="C3" s="135">
        <v>515</v>
      </c>
      <c r="D3" s="135">
        <f>'обратная задача'!A14</f>
        <v>555.15583912096054</v>
      </c>
    </row>
    <row r="4" spans="1:4" ht="31.5" customHeight="1" thickBot="1" x14ac:dyDescent="0.3">
      <c r="A4" s="32" t="s">
        <v>82</v>
      </c>
      <c r="B4" s="136">
        <f>'прямая задача (1)'!B4/B3</f>
        <v>133378.83184344423</v>
      </c>
      <c r="C4" s="136">
        <f>'прямая задача 2 (3)'!B4/C3</f>
        <v>133376.49528543689</v>
      </c>
      <c r="D4" s="136">
        <f>'обратная задача'!B9/D3</f>
        <v>133103.63106796116</v>
      </c>
    </row>
    <row r="5" spans="1:4" ht="27" customHeight="1" thickBot="1" x14ac:dyDescent="0.3">
      <c r="A5" s="38" t="s">
        <v>83</v>
      </c>
      <c r="B5" s="136">
        <f>'прямая задача (1)'!B14</f>
        <v>23005658.342399992</v>
      </c>
      <c r="C5" s="136">
        <f>'прямая задача 2 (3)'!B14</f>
        <v>27718714.605413698</v>
      </c>
      <c r="D5" s="136">
        <f>'обратная задача'!B3</f>
        <v>30000000</v>
      </c>
    </row>
    <row r="6" spans="1:4" ht="28.5" customHeight="1" thickBot="1" x14ac:dyDescent="0.3">
      <c r="A6" s="39" t="s">
        <v>61</v>
      </c>
      <c r="B6" s="137">
        <f>'прямая задача (1)'!B16</f>
        <v>33.754125141656566</v>
      </c>
      <c r="C6" s="137">
        <f>'прямая задача 2 (3)'!B16</f>
        <v>40.353996925352817</v>
      </c>
      <c r="D6" s="137">
        <f>'обратная задача'!B11</f>
        <v>40.599103103282005</v>
      </c>
    </row>
    <row r="7" spans="1:4" ht="18.75" customHeight="1" thickBot="1" x14ac:dyDescent="0.3">
      <c r="A7" s="39" t="s">
        <v>84</v>
      </c>
      <c r="B7" s="135">
        <f>'прямая задача (1)'!I8</f>
        <v>8620.8219178082181</v>
      </c>
      <c r="C7" s="135">
        <f>'прямая задача 2 (3)'!I8</f>
        <v>9120.8219178082181</v>
      </c>
      <c r="D7" s="135">
        <f>'обратная задача'!I7</f>
        <v>9120.8219178082181</v>
      </c>
    </row>
    <row r="8" spans="1:4" ht="42.75" customHeight="1" thickBot="1" x14ac:dyDescent="0.3">
      <c r="A8" s="39" t="s">
        <v>139</v>
      </c>
      <c r="B8" s="135">
        <f>'прямая задача (1)'!B32</f>
        <v>21.673066853368091</v>
      </c>
      <c r="C8" s="135">
        <f>'прямая задача 2 (3)'!B32</f>
        <v>18.134885833836329</v>
      </c>
      <c r="D8" s="135">
        <f>'обратная задача'!B31</f>
        <v>18.298567672583438</v>
      </c>
    </row>
    <row r="9" spans="1:4" ht="24.75" customHeight="1" thickBot="1" x14ac:dyDescent="0.3">
      <c r="A9" s="37" t="s">
        <v>77</v>
      </c>
      <c r="B9" s="138">
        <f>'прямая задача (1)'!B67</f>
        <v>36910245.117695972</v>
      </c>
      <c r="C9" s="134">
        <f>'прямая задача 2 (3)'!B67</f>
        <v>54772728.354517922</v>
      </c>
      <c r="D9" s="134">
        <f>'обратная задача'!B50</f>
        <v>63418800</v>
      </c>
    </row>
    <row r="10" spans="1:4" ht="32.25" customHeight="1" thickBot="1" x14ac:dyDescent="0.3">
      <c r="A10" s="37" t="s">
        <v>85</v>
      </c>
      <c r="B10" s="139">
        <f>'прямая задача (1)'!B69</f>
        <v>0.73407645636333207</v>
      </c>
      <c r="C10" s="140">
        <f>'прямая задача 2 (3)'!B69</f>
        <v>1.089328185375805</v>
      </c>
      <c r="D10" s="137">
        <f>'обратная задача'!B52</f>
        <v>1.2612825469559199</v>
      </c>
    </row>
    <row r="11" spans="1:4" ht="15.75" thickBot="1" x14ac:dyDescent="0.3">
      <c r="A11" s="37" t="s">
        <v>86</v>
      </c>
      <c r="B11" s="141">
        <v>26.7</v>
      </c>
      <c r="C11" s="142">
        <v>15.1</v>
      </c>
      <c r="D11" s="142">
        <v>32</v>
      </c>
    </row>
    <row r="12" spans="1:4" ht="36" customHeight="1" thickBot="1" x14ac:dyDescent="0.3">
      <c r="A12" s="37" t="s">
        <v>87</v>
      </c>
      <c r="B12" s="139">
        <f>'прямая задача (1)'!B65</f>
        <v>2.4398221962758369</v>
      </c>
      <c r="C12" s="137">
        <f>'прямая задача 2 (3)'!B65</f>
        <v>2.9839235441449841</v>
      </c>
      <c r="D12" s="137">
        <f>'обратная задача'!B48</f>
        <v>1.078508655126498</v>
      </c>
    </row>
    <row r="13" spans="1:4" ht="42" customHeight="1" thickBot="1" x14ac:dyDescent="0.3">
      <c r="A13" s="39" t="s">
        <v>88</v>
      </c>
      <c r="B13" s="137">
        <f>'прямая задача (1)'!B63</f>
        <v>2.8143985600563965</v>
      </c>
      <c r="C13" s="137">
        <f>'прямая задача 2 (3)'!B63</f>
        <v>1.1860197806510242</v>
      </c>
      <c r="D13" s="137">
        <f>'обратная задача'!B46</f>
        <v>1.32396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прямая задача 1</vt:lpstr>
      <vt:lpstr>прямая задача (1)</vt:lpstr>
      <vt:lpstr>прямая задача 2 (2)</vt:lpstr>
      <vt:lpstr>прямая задача 2 (3)</vt:lpstr>
      <vt:lpstr>обратная задача</vt:lpstr>
      <vt:lpstr>сравнит.таблица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Мифтахова Алина Дамировна</dc:creator>
  <cp:lastModifiedBy>Алина</cp:lastModifiedBy>
  <dcterms:created xsi:type="dcterms:W3CDTF">2015-06-05T18:19:34Z</dcterms:created>
  <dcterms:modified xsi:type="dcterms:W3CDTF">2021-12-18T20:44:53Z</dcterms:modified>
</cp:coreProperties>
</file>