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827"/>
  <workbookPr/>
  <mc:AlternateContent xmlns:mc="http://schemas.openxmlformats.org/markup-compatibility/2006">
    <mc:Choice Requires="x15">
      <x15ac:absPath xmlns:x15ac="http://schemas.microsoft.com/office/spreadsheetml/2010/11/ac" url="C:\Users\Renat\Desktop\"/>
    </mc:Choice>
  </mc:AlternateContent>
  <xr:revisionPtr revIDLastSave="0" documentId="13_ncr:1_{11FF059C-0788-49E8-988D-EF7A21AE5FC3}" xr6:coauthVersionLast="45" xr6:coauthVersionMax="45" xr10:uidLastSave="{00000000-0000-0000-0000-000000000000}"/>
  <bookViews>
    <workbookView xWindow="-108" yWindow="-108" windowWidth="30936" windowHeight="16896" firstSheet="2" activeTab="3" xr2:uid="{00000000-000D-0000-FFFF-FFFF00000000}"/>
  </bookViews>
  <sheets>
    <sheet name="Вводные данные" sheetId="1" r:id="rId1"/>
    <sheet name="Отчет о прибылях и убытках" sheetId="3" r:id="rId2"/>
    <sheet name="результаты" sheetId="5" r:id="rId3"/>
    <sheet name="график bep для прямой задачи" sheetId="9" r:id="rId4"/>
    <sheet name="обратная задача" sheetId="6" r:id="rId5"/>
    <sheet name="график bep для обратной задач " sheetId="10" r:id="rId6"/>
    <sheet name="расчеты для курсовой работы" sheetId="7" r:id="rId7"/>
    <sheet name="сравнительная таблица" sheetId="8"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30" i="10" l="1"/>
  <c r="I29" i="10"/>
  <c r="I28" i="10"/>
  <c r="I27" i="10"/>
  <c r="I26" i="10"/>
  <c r="I25" i="10"/>
  <c r="I24" i="10"/>
  <c r="I23" i="10"/>
  <c r="I22" i="10"/>
  <c r="I21" i="10"/>
  <c r="I20" i="10"/>
  <c r="I19" i="10"/>
  <c r="I18" i="10"/>
  <c r="I17" i="10"/>
  <c r="I16" i="10"/>
  <c r="I15" i="10"/>
  <c r="I14" i="10"/>
  <c r="I13" i="10"/>
  <c r="I12" i="10"/>
  <c r="I11" i="10"/>
  <c r="I10" i="10"/>
  <c r="I9" i="10"/>
  <c r="I8" i="10"/>
  <c r="I7" i="10"/>
  <c r="I6" i="10"/>
  <c r="I5" i="10"/>
  <c r="I4" i="10"/>
  <c r="I3" i="10"/>
  <c r="I2" i="10"/>
  <c r="G4" i="10"/>
  <c r="G5" i="10"/>
  <c r="G6" i="10"/>
  <c r="G7" i="10"/>
  <c r="G8" i="10"/>
  <c r="G9" i="10"/>
  <c r="G10" i="10"/>
  <c r="G11" i="10"/>
  <c r="G12" i="10"/>
  <c r="G13" i="10"/>
  <c r="G14" i="10"/>
  <c r="G15" i="10"/>
  <c r="G16" i="10"/>
  <c r="G17" i="10"/>
  <c r="G18" i="10"/>
  <c r="G19" i="10"/>
  <c r="G20" i="10"/>
  <c r="G21" i="10"/>
  <c r="G22" i="10"/>
  <c r="G23" i="10"/>
  <c r="G24" i="10"/>
  <c r="G25" i="10"/>
  <c r="G26" i="10"/>
  <c r="G27" i="10"/>
  <c r="G28" i="10"/>
  <c r="G29" i="10"/>
  <c r="G30" i="10"/>
  <c r="G3" i="10"/>
  <c r="B5" i="10"/>
  <c r="B4" i="10"/>
  <c r="F16" i="10" s="1"/>
  <c r="H16" i="10" s="1"/>
  <c r="B3" i="10"/>
  <c r="B2" i="10"/>
  <c r="B1" i="10"/>
  <c r="F30" i="10"/>
  <c r="H30" i="10" s="1"/>
  <c r="F26" i="10"/>
  <c r="H26" i="10" s="1"/>
  <c r="F24" i="10"/>
  <c r="F20" i="10"/>
  <c r="H20" i="10" s="1"/>
  <c r="F18" i="10"/>
  <c r="F14" i="10"/>
  <c r="H14" i="10" s="1"/>
  <c r="F10" i="10"/>
  <c r="F8" i="10"/>
  <c r="H8" i="10" s="1"/>
  <c r="F3" i="10"/>
  <c r="H3" i="10" s="1"/>
  <c r="G2" i="10"/>
  <c r="F2" i="10"/>
  <c r="H2" i="10" s="1"/>
  <c r="F30" i="9"/>
  <c r="F29" i="9"/>
  <c r="H29" i="9" s="1"/>
  <c r="F28" i="9"/>
  <c r="H28" i="9" s="1"/>
  <c r="F23" i="9"/>
  <c r="F27" i="9"/>
  <c r="F26" i="9"/>
  <c r="F25" i="9"/>
  <c r="F24" i="9"/>
  <c r="H23" i="9"/>
  <c r="F22" i="9"/>
  <c r="H24" i="9"/>
  <c r="I3" i="9"/>
  <c r="I4" i="9"/>
  <c r="I5" i="9"/>
  <c r="I6" i="9"/>
  <c r="I7" i="9"/>
  <c r="I8" i="9"/>
  <c r="I9" i="9"/>
  <c r="I10" i="9"/>
  <c r="I11" i="9"/>
  <c r="I12" i="9"/>
  <c r="I13" i="9"/>
  <c r="I14" i="9"/>
  <c r="I15" i="9"/>
  <c r="I16" i="9"/>
  <c r="I17" i="9"/>
  <c r="I18" i="9"/>
  <c r="I19" i="9"/>
  <c r="I20" i="9"/>
  <c r="I21" i="9"/>
  <c r="I22" i="9"/>
  <c r="I23" i="9"/>
  <c r="I24" i="9"/>
  <c r="I25" i="9"/>
  <c r="I26" i="9"/>
  <c r="I27" i="9"/>
  <c r="I28" i="9"/>
  <c r="I29" i="9"/>
  <c r="I30" i="9"/>
  <c r="I2" i="9"/>
  <c r="H22" i="9"/>
  <c r="H25" i="9"/>
  <c r="H26" i="9"/>
  <c r="H27" i="9"/>
  <c r="H30" i="9"/>
  <c r="G30" i="9"/>
  <c r="G29" i="9"/>
  <c r="G28" i="9"/>
  <c r="G27" i="9"/>
  <c r="G26" i="9"/>
  <c r="G25" i="9"/>
  <c r="G24" i="9"/>
  <c r="G23" i="9"/>
  <c r="G22" i="9"/>
  <c r="H3" i="9"/>
  <c r="H4" i="9"/>
  <c r="H5" i="9"/>
  <c r="H6" i="9"/>
  <c r="H7" i="9"/>
  <c r="H8" i="9"/>
  <c r="H9" i="9"/>
  <c r="H10" i="9"/>
  <c r="H11" i="9"/>
  <c r="H12" i="9"/>
  <c r="H13" i="9"/>
  <c r="H14" i="9"/>
  <c r="H15" i="9"/>
  <c r="H16" i="9"/>
  <c r="H17" i="9"/>
  <c r="H18" i="9"/>
  <c r="H19" i="9"/>
  <c r="H20" i="9"/>
  <c r="H21" i="9"/>
  <c r="H2" i="9"/>
  <c r="G3" i="9"/>
  <c r="G4" i="9"/>
  <c r="G5" i="9"/>
  <c r="G6" i="9"/>
  <c r="G7" i="9"/>
  <c r="G8" i="9"/>
  <c r="G9" i="9"/>
  <c r="G10" i="9"/>
  <c r="G11" i="9"/>
  <c r="G12" i="9"/>
  <c r="G13" i="9"/>
  <c r="G14" i="9"/>
  <c r="G15" i="9"/>
  <c r="G16" i="9"/>
  <c r="G17" i="9"/>
  <c r="G18" i="9"/>
  <c r="G19" i="9"/>
  <c r="G20" i="9"/>
  <c r="G21" i="9"/>
  <c r="G2" i="9"/>
  <c r="F21" i="9"/>
  <c r="F20" i="9"/>
  <c r="F19" i="9"/>
  <c r="F18" i="9"/>
  <c r="F17" i="9"/>
  <c r="F16" i="9"/>
  <c r="F14" i="9"/>
  <c r="F15" i="9"/>
  <c r="F13" i="9"/>
  <c r="F11" i="9"/>
  <c r="F12" i="9"/>
  <c r="F10" i="9"/>
  <c r="F9" i="9"/>
  <c r="F8" i="9"/>
  <c r="F7" i="9"/>
  <c r="F6" i="9"/>
  <c r="F5" i="9"/>
  <c r="F4" i="9"/>
  <c r="F3" i="9"/>
  <c r="F2" i="9"/>
  <c r="B5" i="9"/>
  <c r="B4" i="9"/>
  <c r="B3" i="9"/>
  <c r="B2" i="9"/>
  <c r="B1" i="9"/>
  <c r="B28" i="6"/>
  <c r="B29" i="6" s="1"/>
  <c r="O14" i="7"/>
  <c r="O13" i="7"/>
  <c r="O16" i="7" s="1"/>
  <c r="O12" i="7" s="1"/>
  <c r="A12" i="7"/>
  <c r="A16" i="7"/>
  <c r="A15" i="7"/>
  <c r="A14" i="7"/>
  <c r="A13" i="7"/>
  <c r="B2" i="5"/>
  <c r="B24" i="6"/>
  <c r="O11" i="7"/>
  <c r="O9" i="7"/>
  <c r="O10" i="7" s="1"/>
  <c r="A11" i="7"/>
  <c r="A10" i="7"/>
  <c r="A9" i="7"/>
  <c r="N25" i="6"/>
  <c r="N26" i="6" s="1"/>
  <c r="R2" i="6"/>
  <c r="N30" i="6" s="1"/>
  <c r="N33" i="6"/>
  <c r="P19" i="6"/>
  <c r="P18" i="6"/>
  <c r="P17" i="6"/>
  <c r="S14" i="6"/>
  <c r="S13" i="6"/>
  <c r="S12" i="6"/>
  <c r="S9" i="6"/>
  <c r="T2" i="6"/>
  <c r="B25" i="1"/>
  <c r="H10" i="10" l="1"/>
  <c r="H18" i="10"/>
  <c r="H24" i="10"/>
  <c r="F12" i="10"/>
  <c r="H12" i="10" s="1"/>
  <c r="F28" i="10"/>
  <c r="H28" i="10" s="1"/>
  <c r="F6" i="10"/>
  <c r="H6" i="10" s="1"/>
  <c r="F22" i="10"/>
  <c r="H22" i="10" s="1"/>
  <c r="F5" i="10"/>
  <c r="H5" i="10" s="1"/>
  <c r="F7" i="10"/>
  <c r="H7" i="10" s="1"/>
  <c r="F9" i="10"/>
  <c r="H9" i="10" s="1"/>
  <c r="F11" i="10"/>
  <c r="H11" i="10" s="1"/>
  <c r="F13" i="10"/>
  <c r="H13" i="10" s="1"/>
  <c r="F15" i="10"/>
  <c r="H15" i="10" s="1"/>
  <c r="F17" i="10"/>
  <c r="H17" i="10" s="1"/>
  <c r="F19" i="10"/>
  <c r="H19" i="10" s="1"/>
  <c r="F21" i="10"/>
  <c r="H21" i="10" s="1"/>
  <c r="F23" i="10"/>
  <c r="H23" i="10" s="1"/>
  <c r="F25" i="10"/>
  <c r="H25" i="10" s="1"/>
  <c r="F27" i="10"/>
  <c r="H27" i="10" s="1"/>
  <c r="F29" i="10"/>
  <c r="H29" i="10" s="1"/>
  <c r="F4" i="10"/>
  <c r="H4" i="10" s="1"/>
  <c r="S15" i="6"/>
  <c r="N32" i="6" s="1"/>
  <c r="S8" i="6"/>
  <c r="S10" i="6" s="1"/>
  <c r="N29" i="6" s="1"/>
  <c r="N34" i="6" s="1"/>
  <c r="F5" i="6" s="1"/>
  <c r="N31" i="6"/>
  <c r="O30" i="6"/>
  <c r="N35" i="6"/>
  <c r="B30" i="1"/>
  <c r="B31" i="1" s="1"/>
  <c r="G14" i="1"/>
  <c r="G13" i="1"/>
  <c r="G12" i="1"/>
  <c r="B33" i="1"/>
  <c r="G9" i="1"/>
  <c r="B26" i="1"/>
  <c r="D18" i="1"/>
  <c r="D19" i="1"/>
  <c r="D17" i="1"/>
  <c r="H2" i="1"/>
  <c r="F2" i="1"/>
  <c r="O29" i="6" l="1"/>
  <c r="N36" i="6"/>
  <c r="N38" i="6"/>
  <c r="N40" i="6" s="1"/>
  <c r="F4" i="6" s="1"/>
  <c r="F6" i="6" s="1"/>
  <c r="F8" i="6" s="1"/>
  <c r="F10" i="6" s="1"/>
  <c r="O38" i="6"/>
  <c r="G8" i="1"/>
  <c r="G10" i="1"/>
  <c r="B29" i="1" s="1"/>
  <c r="C30" i="1"/>
  <c r="G15" i="1"/>
  <c r="B32" i="1" s="1"/>
  <c r="F11" i="6" l="1"/>
  <c r="F12" i="6" s="1"/>
  <c r="C29" i="1"/>
  <c r="B36" i="1"/>
  <c r="B34" i="1"/>
  <c r="B35" i="1"/>
  <c r="C38" i="1"/>
  <c r="F5" i="3"/>
  <c r="B38" i="1" l="1"/>
  <c r="B40" i="1" s="1"/>
  <c r="F4" i="3" l="1"/>
  <c r="F6" i="3" s="1"/>
  <c r="F8" i="3" s="1"/>
  <c r="F10" i="3" s="1"/>
  <c r="F11" i="3" s="1"/>
  <c r="F12" i="3" s="1"/>
  <c r="B6" i="5" s="1"/>
  <c r="B7" i="5" s="1"/>
</calcChain>
</file>

<file path=xl/sharedStrings.xml><?xml version="1.0" encoding="utf-8"?>
<sst xmlns="http://schemas.openxmlformats.org/spreadsheetml/2006/main" count="216" uniqueCount="111">
  <si>
    <t>Стоимость</t>
  </si>
  <si>
    <t>Хлебопекарная печь</t>
  </si>
  <si>
    <t>тестомесильная машина</t>
  </si>
  <si>
    <t>вспомогательное оборудование</t>
  </si>
  <si>
    <t>Срок службы</t>
  </si>
  <si>
    <t>Потребляемая мощность</t>
  </si>
  <si>
    <t>Лет</t>
  </si>
  <si>
    <t>квт*Ч</t>
  </si>
  <si>
    <t>Рубли</t>
  </si>
  <si>
    <t>Материалы</t>
  </si>
  <si>
    <t>Цена</t>
  </si>
  <si>
    <t>Мука</t>
  </si>
  <si>
    <t>Дрожжи</t>
  </si>
  <si>
    <t>Специи</t>
  </si>
  <si>
    <t>Расход на единицу товара,кг</t>
  </si>
  <si>
    <t>Работники,кол-во</t>
  </si>
  <si>
    <t>Кол-во часов</t>
  </si>
  <si>
    <t>Аренда в месяц</t>
  </si>
  <si>
    <t>Стоимость электроэнергии ,квт*Ч</t>
  </si>
  <si>
    <t>Средний дневной выпуск продукции</t>
  </si>
  <si>
    <t>Зарплата в месяц</t>
  </si>
  <si>
    <t>Текущие затраты</t>
  </si>
  <si>
    <t>Материальные затраты</t>
  </si>
  <si>
    <t>Затраты на оплату труда</t>
  </si>
  <si>
    <t>Единый социальный налог</t>
  </si>
  <si>
    <t>амортизация основных фондов</t>
  </si>
  <si>
    <t>Прочие затраты</t>
  </si>
  <si>
    <t>Всего текущих затрат</t>
  </si>
  <si>
    <t>Значение,руб</t>
  </si>
  <si>
    <t>Трнаспортные расходы в месяц</t>
  </si>
  <si>
    <t>Материальные расходы</t>
  </si>
  <si>
    <t>Сырье</t>
  </si>
  <si>
    <t>Стоимость на единицу</t>
  </si>
  <si>
    <t>Продукции в месяц</t>
  </si>
  <si>
    <t>Электроэнергия</t>
  </si>
  <si>
    <t>Итого</t>
  </si>
  <si>
    <t>Коэф. Использования мощности</t>
  </si>
  <si>
    <t>Амортизация в месяц</t>
  </si>
  <si>
    <t>Себестоимость единицы продукции</t>
  </si>
  <si>
    <t>Размер договорной цены</t>
  </si>
  <si>
    <t>Величина прибыли на единицу продукции</t>
  </si>
  <si>
    <t>Наименование</t>
  </si>
  <si>
    <t>Выручка от реализации продукции</t>
  </si>
  <si>
    <t>Затраты на производство</t>
  </si>
  <si>
    <t>Прибыль от реализации продукции</t>
  </si>
  <si>
    <t>Налоги, относимые на финансовые результаты</t>
  </si>
  <si>
    <t>Прибыль без налогов, относимых на финансовые результаты</t>
  </si>
  <si>
    <t>Льготы по налогу на прибыль</t>
  </si>
  <si>
    <t>Налогооблагаемая прибыль</t>
  </si>
  <si>
    <t>Налог на прибыль</t>
  </si>
  <si>
    <t>Чистая прибыль</t>
  </si>
  <si>
    <t>Точка безубыточности</t>
  </si>
  <si>
    <t>На единицу(для VC)</t>
  </si>
  <si>
    <t>Кол-во единиц продукции,штук</t>
  </si>
  <si>
    <t>из них постоянные</t>
  </si>
  <si>
    <t>из них переменные</t>
  </si>
  <si>
    <t>Отчет о прибылях и убытках,месячный</t>
  </si>
  <si>
    <t>Срок окупаемости,месяцев</t>
  </si>
  <si>
    <t>В годах</t>
  </si>
  <si>
    <t>Желаемая чистая прибыль в месяц</t>
  </si>
  <si>
    <t>Проводим обратные расчеты</t>
  </si>
  <si>
    <t>Стоимость,увеличили каждую строку на 100 тысяч рублей ради реалистичного срока окупаемости проекта</t>
  </si>
  <si>
    <t>Предпринятые меры по достижению целевого показателя чистой прибыли в месяц.</t>
  </si>
  <si>
    <t>1. Увеличен дневной выпуск продукции на 50% за счет найма нового персонала в размере 7 человек (50% рост кол-ва персонала должен обеспечить необходимый выпуск)</t>
  </si>
  <si>
    <t>2. Повышен коэф. Использования всего оборудования до 1, дабы отобразить дополнительную смену и увеличившийся расход электроэнергии</t>
  </si>
  <si>
    <t>3. Рост выпуска снижает долю постоянных расходов в себестоимости, что позволяет повысить норму прибыли с 10 до 25%. Одновременно с этим цена продажи возрастет всего лишь на 1,62 рубля или на  8%, что приемлимо в текущих условиях рынка</t>
  </si>
  <si>
    <t>4. С помощью вышесказанных управленческих решений удалось повысить рост чистой прибыли с 14 до целевых 50 тысяч рублей при небольшом росте стоимости для конечного потребителя и создает дополнительные перспективы для развития предприятия</t>
  </si>
  <si>
    <t>номинальная ставку дисконтирования найдем из суммы безрисковой ставки доходности( порядка 5% по рублевым депозитам в банках) и среднего темпа инфляции ( для российской экономики предлагаю брать не официальную в размере 4,2% в 2018 и 3% в 2019, а порядка 8% как минимум). Итого номинальная ставка дисконтирования составляет 13% (премию за риск опустим)</t>
  </si>
  <si>
    <t>Описание</t>
  </si>
  <si>
    <t>Годовая ставка дисконтирования</t>
  </si>
  <si>
    <t>начальные затраты на покупку оборудования</t>
  </si>
  <si>
    <t>Доход за первый год</t>
  </si>
  <si>
    <t xml:space="preserve">Доход за второй год </t>
  </si>
  <si>
    <t>Чистый дисконтированный доход(NPV). Он больше 0,значит проект эффективен</t>
  </si>
  <si>
    <t xml:space="preserve">Доход за третий год </t>
  </si>
  <si>
    <t>Индекс доходности</t>
  </si>
  <si>
    <t>Показатель</t>
  </si>
  <si>
    <t>Обратная задача</t>
  </si>
  <si>
    <t>Себестоимость продукции</t>
  </si>
  <si>
    <t>Рентабельность продукции</t>
  </si>
  <si>
    <t>ЧДД</t>
  </si>
  <si>
    <t>ИД</t>
  </si>
  <si>
    <t>ВНД</t>
  </si>
  <si>
    <t>Срок окупаемости инвестиций с учетом дисконтирования</t>
  </si>
  <si>
    <t>Срок окупаемости инвестиций без учета дисконтирования</t>
  </si>
  <si>
    <t>Данные(вариант с прямой задачей)</t>
  </si>
  <si>
    <t>Данные(вариант с обратной задачей задачей)</t>
  </si>
  <si>
    <t>Цена продукции</t>
  </si>
  <si>
    <t>Чистая прибыль,в месяц</t>
  </si>
  <si>
    <t>Точка BEP</t>
  </si>
  <si>
    <t>0,62 года</t>
  </si>
  <si>
    <t>2,21 года</t>
  </si>
  <si>
    <t>Внутренняя норма доходности</t>
  </si>
  <si>
    <t>Окупаемость с учетом дисконта</t>
  </si>
  <si>
    <t>PV1</t>
  </si>
  <si>
    <t>PV2</t>
  </si>
  <si>
    <t>Остаток</t>
  </si>
  <si>
    <t>Окупаемость с учетом дисконта, в годах</t>
  </si>
  <si>
    <t>2,85 года</t>
  </si>
  <si>
    <t>1,28 года</t>
  </si>
  <si>
    <t>Прямая задача №3(вариант 10)</t>
  </si>
  <si>
    <t>Выручка</t>
  </si>
  <si>
    <t>Суммарные затраты</t>
  </si>
  <si>
    <t>Переменные</t>
  </si>
  <si>
    <t>Постоянные</t>
  </si>
  <si>
    <t>Объем производства</t>
  </si>
  <si>
    <t>FC</t>
  </si>
  <si>
    <t>VC</t>
  </si>
  <si>
    <t>TC</t>
  </si>
  <si>
    <t>примечание к таблице:  линия выручки и суммарных расходов пересекается в точке х :7644 , которая и демонстрирует нам безубыточный объем производства</t>
  </si>
  <si>
    <t>На основе данных расчетов можно сделать вывод, что наши действия по повышению роста чистой прибыли значительно увеличивают привлекательность инвестиционного проекта для инвесторов. Также хотелось бы отметить,что длительная окупаемость при первоначальных показателях составляет 2,85 года с учетом дисконтирования по той причине, что мы повысили стоимости каждого оборудования на 100 тысяч рублей дабы придать инв. проекту более реалистичный вид. В случае с обратной задачей окупаемость значительно ускорилась ( составила 1,28 года с учетом дисконта против 2,85 года в изначальном варианте).Остальные показатели эффективности проекта( ЧДД, ИД, ВНД) также имеют положительную динамику. Добавление 8-часовой второй смены с 50% кол-вом персонала позволит нарастить объем выпускаемой продукции.Если спрос будет стабильно высоким, то считаю оптимальным открытие еще 1 филиала, дабы масштабировать наш проект и захватить большую часть рынка.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</si>
</sst>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8" formatCode="#,##0.00\ &quot;₽&quot;;[Red]\-#,##0.00\ &quot;₽&quot;"/>
    <numFmt numFmtId="42" formatCode="_-* #,##0\ &quot;₽&quot;_-;\-* #,##0\ &quot;₽&quot;_-;_-* &quot;-&quot;\ &quot;₽&quot;_-;_-@_-"/>
    <numFmt numFmtId="44" formatCode="_-* #,##0.00\ &quot;₽&quot;_-;\-* #,##0.00\ &quot;₽&quot;_-;_-* &quot;-&quot;??\ &quot;₽&quot;_-;_-@_-"/>
    <numFmt numFmtId="164" formatCode="0.000"/>
    <numFmt numFmtId="165" formatCode="_-* #,##0.0\ &quot;₽&quot;_-;\-* #,##0.0\ &quot;₽&quot;_-;_-* &quot;-&quot;??\ &quot;₽&quot;_-;_-@_-"/>
    <numFmt numFmtId="166" formatCode="#,##0.00\ &quot;₽&quot;"/>
    <numFmt numFmtId="167" formatCode="_-* #,##0.000\ &quot;₽&quot;_-;\-* #,##0.000\ &quot;₽&quot;_-;_-* &quot;-&quot;???\ &quot;₽&quot;_-;_-@_-"/>
    <numFmt numFmtId="168" formatCode="_-* #,##0.00\ &quot;₽&quot;_-;\-* #,##0.00\ &quot;₽&quot;_-;_-* &quot;-&quot;???\ &quot;₽&quot;_-;_-@_-"/>
  </numFmts>
  <fonts count="4" x14ac:knownFonts="1">
    <font>
      <sz val="11"/>
      <color theme="1"/>
      <name val="Calibri"/>
      <family val="2"/>
      <scheme val="minor"/>
    </font>
    <font>
      <sz val="12"/>
      <color theme="1"/>
      <name val="Calibri"/>
      <family val="2"/>
      <scheme val="minor"/>
    </font>
    <font>
      <b/>
      <i/>
      <sz val="12"/>
      <color theme="1"/>
      <name val="Calibri"/>
      <family val="2"/>
      <charset val="204"/>
      <scheme val="minor"/>
    </font>
    <font>
      <sz val="10"/>
      <color theme="1"/>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s>
  <cellStyleXfs count="1">
    <xf numFmtId="0" fontId="0" fillId="0" borderId="0"/>
  </cellStyleXfs>
  <cellXfs count="53">
    <xf numFmtId="0" fontId="0" fillId="0" borderId="0" xfId="0"/>
    <xf numFmtId="0" fontId="0" fillId="0" borderId="1" xfId="0" applyBorder="1"/>
    <xf numFmtId="2" fontId="0" fillId="0" borderId="1" xfId="0" applyNumberFormat="1" applyBorder="1"/>
    <xf numFmtId="0" fontId="1" fillId="0" borderId="0" xfId="0" applyFont="1"/>
    <xf numFmtId="44" fontId="1" fillId="0" borderId="0" xfId="0" applyNumberFormat="1" applyFont="1"/>
    <xf numFmtId="0" fontId="1" fillId="0" borderId="1" xfId="0" applyFont="1" applyBorder="1"/>
    <xf numFmtId="0" fontId="1" fillId="0" borderId="1" xfId="0" applyFont="1" applyBorder="1" applyAlignment="1">
      <alignment horizontal="center"/>
    </xf>
    <xf numFmtId="42" fontId="1" fillId="0" borderId="1" xfId="0" applyNumberFormat="1" applyFont="1" applyBorder="1"/>
    <xf numFmtId="42" fontId="1" fillId="0" borderId="0" xfId="0" applyNumberFormat="1" applyFont="1"/>
    <xf numFmtId="1" fontId="1" fillId="0" borderId="1" xfId="0" applyNumberFormat="1" applyFont="1" applyBorder="1"/>
    <xf numFmtId="1" fontId="1" fillId="0" borderId="0" xfId="0" applyNumberFormat="1" applyFont="1"/>
    <xf numFmtId="2" fontId="1" fillId="0" borderId="1" xfId="0" applyNumberFormat="1" applyFont="1" applyBorder="1" applyAlignment="1">
      <alignment horizontal="center"/>
    </xf>
    <xf numFmtId="0" fontId="1" fillId="0" borderId="1" xfId="0" applyFont="1" applyFill="1" applyBorder="1"/>
    <xf numFmtId="0" fontId="1" fillId="0" borderId="1" xfId="0" applyFont="1" applyBorder="1" applyAlignment="1">
      <alignment horizontal="center" wrapText="1"/>
    </xf>
    <xf numFmtId="164" fontId="1" fillId="0" borderId="1" xfId="0" applyNumberFormat="1" applyFont="1" applyFill="1" applyBorder="1"/>
    <xf numFmtId="165" fontId="1" fillId="0" borderId="1" xfId="0" applyNumberFormat="1" applyFont="1" applyBorder="1"/>
    <xf numFmtId="164" fontId="1" fillId="0" borderId="1" xfId="0" applyNumberFormat="1" applyFont="1" applyBorder="1"/>
    <xf numFmtId="166" fontId="1" fillId="0" borderId="1" xfId="0" applyNumberFormat="1" applyFont="1" applyBorder="1"/>
    <xf numFmtId="0" fontId="1" fillId="0" borderId="1" xfId="0" applyFont="1" applyBorder="1" applyAlignment="1">
      <alignment horizontal="center"/>
    </xf>
    <xf numFmtId="168" fontId="1" fillId="0" borderId="1" xfId="0" applyNumberFormat="1" applyFont="1" applyBorder="1"/>
    <xf numFmtId="44" fontId="1" fillId="0" borderId="1" xfId="0" applyNumberFormat="1" applyFont="1" applyBorder="1"/>
    <xf numFmtId="167" fontId="1" fillId="0" borderId="1" xfId="0" applyNumberFormat="1" applyFont="1" applyBorder="1"/>
    <xf numFmtId="0" fontId="1" fillId="0" borderId="1" xfId="0" applyFont="1" applyBorder="1" applyAlignment="1">
      <alignment wrapText="1"/>
    </xf>
    <xf numFmtId="0" fontId="1" fillId="0" borderId="1" xfId="0" applyFont="1" applyBorder="1" applyAlignment="1">
      <alignment horizontal="center" vertical="center"/>
    </xf>
    <xf numFmtId="9" fontId="1" fillId="0" borderId="0" xfId="0" applyNumberFormat="1" applyFont="1"/>
    <xf numFmtId="0" fontId="1" fillId="0" borderId="1" xfId="0" applyFont="1" applyBorder="1" applyAlignment="1">
      <alignment horizontal="center"/>
    </xf>
    <xf numFmtId="44" fontId="0" fillId="0" borderId="1" xfId="0" applyNumberFormat="1" applyBorder="1" applyAlignment="1">
      <alignment horizontal="center"/>
    </xf>
    <xf numFmtId="0" fontId="0" fillId="0" borderId="1" xfId="0" applyBorder="1" applyAlignment="1">
      <alignment horizontal="center"/>
    </xf>
    <xf numFmtId="0" fontId="0" fillId="0" borderId="1" xfId="0" applyBorder="1" applyAlignment="1">
      <alignment horizontal="left"/>
    </xf>
    <xf numFmtId="0" fontId="2" fillId="0" borderId="0" xfId="0" applyFont="1" applyAlignment="1">
      <alignment horizontal="center"/>
    </xf>
    <xf numFmtId="1" fontId="0" fillId="0" borderId="1" xfId="0" applyNumberFormat="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0" xfId="0" applyAlignment="1"/>
    <xf numFmtId="0" fontId="0" fillId="0" borderId="0" xfId="0" applyAlignment="1">
      <alignment horizontal="center" wrapText="1"/>
    </xf>
    <xf numFmtId="0" fontId="0" fillId="0" borderId="0" xfId="0" applyAlignment="1">
      <alignment horizontal="left" wrapText="1"/>
    </xf>
    <xf numFmtId="166" fontId="0" fillId="0" borderId="0" xfId="0" applyNumberFormat="1"/>
    <xf numFmtId="0" fontId="3" fillId="0" borderId="4"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7" xfId="0" applyFont="1" applyBorder="1" applyAlignment="1">
      <alignment horizontal="justify" vertical="center" wrapText="1"/>
    </xf>
    <xf numFmtId="9" fontId="0" fillId="0" borderId="1" xfId="0" applyNumberFormat="1" applyBorder="1"/>
    <xf numFmtId="166" fontId="0" fillId="0" borderId="1" xfId="0" applyNumberFormat="1" applyBorder="1"/>
    <xf numFmtId="8" fontId="0" fillId="0" borderId="1" xfId="0" applyNumberFormat="1" applyBorder="1"/>
    <xf numFmtId="10" fontId="0" fillId="0" borderId="1" xfId="0" applyNumberFormat="1" applyBorder="1"/>
    <xf numFmtId="0" fontId="0" fillId="0" borderId="8" xfId="0" applyBorder="1" applyAlignment="1">
      <alignment horizontal="center"/>
    </xf>
    <xf numFmtId="9" fontId="3" fillId="0" borderId="7" xfId="0" applyNumberFormat="1" applyFont="1" applyBorder="1" applyAlignment="1">
      <alignment horizontal="justify" vertical="center" wrapText="1"/>
    </xf>
    <xf numFmtId="0" fontId="0" fillId="0" borderId="1" xfId="0" applyBorder="1" applyAlignment="1">
      <alignment wrapText="1"/>
    </xf>
    <xf numFmtId="10" fontId="3" fillId="0" borderId="7" xfId="0" applyNumberFormat="1" applyFont="1" applyBorder="1" applyAlignment="1">
      <alignment horizontal="justify" vertical="center" wrapText="1"/>
    </xf>
    <xf numFmtId="0" fontId="0" fillId="0" borderId="0" xfId="0" applyFill="1" applyBorder="1"/>
    <xf numFmtId="2" fontId="0" fillId="0" borderId="0" xfId="0" applyNumberFormat="1"/>
    <xf numFmtId="44" fontId="0" fillId="0" borderId="0" xfId="0" applyNumberFormat="1"/>
    <xf numFmtId="0" fontId="0" fillId="0" borderId="0" xfId="0" applyAlignment="1">
      <alignment horizontal="center"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ru-RU"/>
              <a:t>Точка безубыточности</a:t>
            </a:r>
          </a:p>
          <a:p>
            <a:pPr>
              <a:defRPr/>
            </a:pPr>
            <a:endParaRPr lang="ru-R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ru-RU"/>
        </a:p>
      </c:txPr>
    </c:title>
    <c:autoTitleDeleted val="0"/>
    <c:plotArea>
      <c:layout>
        <c:manualLayout>
          <c:layoutTarget val="inner"/>
          <c:xMode val="edge"/>
          <c:yMode val="edge"/>
          <c:x val="0.16418810148731408"/>
          <c:y val="0.15319444444444447"/>
          <c:w val="0.82062729658792655"/>
          <c:h val="0.61498432487605714"/>
        </c:manualLayout>
      </c:layout>
      <c:lineChart>
        <c:grouping val="standard"/>
        <c:varyColors val="0"/>
        <c:ser>
          <c:idx val="0"/>
          <c:order val="0"/>
          <c:tx>
            <c:strRef>
              <c:f>'график bep для прямой задачи'!$E$1</c:f>
              <c:strCache>
                <c:ptCount val="1"/>
                <c:pt idx="0">
                  <c:v>Объем производства</c:v>
                </c:pt>
              </c:strCache>
            </c:strRef>
          </c:tx>
          <c:spPr>
            <a:ln w="28575" cap="rnd">
              <a:solidFill>
                <a:srgbClr val="00B050"/>
              </a:solidFill>
              <a:round/>
            </a:ln>
            <a:effectLst/>
          </c:spPr>
          <c:marker>
            <c:symbol val="none"/>
          </c:marker>
          <c:cat>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val>
          <c:smooth val="0"/>
          <c:extLst>
            <c:ext xmlns:c16="http://schemas.microsoft.com/office/drawing/2014/chart" uri="{C3380CC4-5D6E-409C-BE32-E72D297353CC}">
              <c16:uniqueId val="{00000000-A17A-4C7E-80E2-9F8C41BBAA9E}"/>
            </c:ext>
          </c:extLst>
        </c:ser>
        <c:ser>
          <c:idx val="1"/>
          <c:order val="1"/>
          <c:tx>
            <c:strRef>
              <c:f>'график bep для прямой задачи'!$F$1</c:f>
              <c:strCache>
                <c:ptCount val="1"/>
                <c:pt idx="0">
                  <c:v>FC</c:v>
                </c:pt>
              </c:strCache>
            </c:strRef>
          </c:tx>
          <c:spPr>
            <a:ln w="28575" cap="rnd">
              <a:solidFill>
                <a:schemeClr val="accent2"/>
              </a:solidFill>
              <a:round/>
            </a:ln>
            <a:effectLst/>
          </c:spPr>
          <c:marker>
            <c:symbol val="none"/>
          </c:marker>
          <c:cat>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прямой задачи'!$F$2:$F$30</c:f>
              <c:numCache>
                <c:formatCode>_("₽"* #,##0.00_);_("₽"* \(#,##0.00\);_("₽"* "-"??_);_(@_)</c:formatCode>
                <c:ptCount val="29"/>
                <c:pt idx="0">
                  <c:v>53610.044444444444</c:v>
                </c:pt>
                <c:pt idx="1">
                  <c:v>53610.044444444444</c:v>
                </c:pt>
                <c:pt idx="2">
                  <c:v>53610.044444444444</c:v>
                </c:pt>
                <c:pt idx="3">
                  <c:v>53610.044444444444</c:v>
                </c:pt>
                <c:pt idx="4">
                  <c:v>53610.044444444444</c:v>
                </c:pt>
                <c:pt idx="5">
                  <c:v>53610.044444444444</c:v>
                </c:pt>
                <c:pt idx="6">
                  <c:v>53610.044444444444</c:v>
                </c:pt>
                <c:pt idx="7">
                  <c:v>53610.044444444444</c:v>
                </c:pt>
                <c:pt idx="8">
                  <c:v>53610.044444444444</c:v>
                </c:pt>
                <c:pt idx="9">
                  <c:v>53610.044444444444</c:v>
                </c:pt>
                <c:pt idx="10">
                  <c:v>53610.044444444444</c:v>
                </c:pt>
                <c:pt idx="11">
                  <c:v>53610.044444444444</c:v>
                </c:pt>
                <c:pt idx="12">
                  <c:v>53610.044444444444</c:v>
                </c:pt>
                <c:pt idx="13">
                  <c:v>53610.044444444444</c:v>
                </c:pt>
                <c:pt idx="14">
                  <c:v>53610.044444444444</c:v>
                </c:pt>
                <c:pt idx="15">
                  <c:v>53610.044444444444</c:v>
                </c:pt>
                <c:pt idx="16">
                  <c:v>53610.044444444444</c:v>
                </c:pt>
                <c:pt idx="17">
                  <c:v>53610.044444444444</c:v>
                </c:pt>
                <c:pt idx="18">
                  <c:v>53610.044444444444</c:v>
                </c:pt>
                <c:pt idx="19">
                  <c:v>53610.044444444444</c:v>
                </c:pt>
                <c:pt idx="20">
                  <c:v>53610.044444444444</c:v>
                </c:pt>
                <c:pt idx="21">
                  <c:v>53610.044444444444</c:v>
                </c:pt>
                <c:pt idx="22">
                  <c:v>53610.044444444444</c:v>
                </c:pt>
                <c:pt idx="23">
                  <c:v>53610.044444444444</c:v>
                </c:pt>
                <c:pt idx="24">
                  <c:v>53610.044444444444</c:v>
                </c:pt>
                <c:pt idx="25">
                  <c:v>53610.044444444444</c:v>
                </c:pt>
                <c:pt idx="26">
                  <c:v>53610.044444444444</c:v>
                </c:pt>
                <c:pt idx="27">
                  <c:v>53610.044444444444</c:v>
                </c:pt>
                <c:pt idx="28">
                  <c:v>53610.044444444444</c:v>
                </c:pt>
              </c:numCache>
            </c:numRef>
          </c:val>
          <c:smooth val="0"/>
          <c:extLst>
            <c:ext xmlns:c16="http://schemas.microsoft.com/office/drawing/2014/chart" uri="{C3380CC4-5D6E-409C-BE32-E72D297353CC}">
              <c16:uniqueId val="{00000001-A17A-4C7E-80E2-9F8C41BBAA9E}"/>
            </c:ext>
          </c:extLst>
        </c:ser>
        <c:ser>
          <c:idx val="2"/>
          <c:order val="2"/>
          <c:tx>
            <c:strRef>
              <c:f>'график bep для прямой задачи'!$G$1</c:f>
              <c:strCache>
                <c:ptCount val="1"/>
                <c:pt idx="0">
                  <c:v>VC</c:v>
                </c:pt>
              </c:strCache>
            </c:strRef>
          </c:tx>
          <c:spPr>
            <a:ln w="28575" cap="rnd">
              <a:solidFill>
                <a:schemeClr val="accent3"/>
              </a:solidFill>
              <a:round/>
            </a:ln>
            <a:effectLst/>
          </c:spPr>
          <c:marker>
            <c:symbol val="none"/>
          </c:marker>
          <c:cat>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прямой задачи'!$G$2:$G$30</c:f>
              <c:numCache>
                <c:formatCode>_("₽"* #,##0.00_);_("₽"* \(#,##0.00\);_("₽"* "-"??_);_(@_)</c:formatCode>
                <c:ptCount val="29"/>
                <c:pt idx="0">
                  <c:v>0</c:v>
                </c:pt>
                <c:pt idx="1">
                  <c:v>6045</c:v>
                </c:pt>
                <c:pt idx="2">
                  <c:v>12090</c:v>
                </c:pt>
                <c:pt idx="3">
                  <c:v>18135</c:v>
                </c:pt>
                <c:pt idx="4">
                  <c:v>24180</c:v>
                </c:pt>
                <c:pt idx="5">
                  <c:v>30225</c:v>
                </c:pt>
                <c:pt idx="6">
                  <c:v>36270</c:v>
                </c:pt>
                <c:pt idx="7">
                  <c:v>42315</c:v>
                </c:pt>
                <c:pt idx="8">
                  <c:v>48360</c:v>
                </c:pt>
                <c:pt idx="9">
                  <c:v>54405</c:v>
                </c:pt>
                <c:pt idx="10">
                  <c:v>60450</c:v>
                </c:pt>
                <c:pt idx="11">
                  <c:v>66495</c:v>
                </c:pt>
                <c:pt idx="12">
                  <c:v>72540</c:v>
                </c:pt>
                <c:pt idx="13">
                  <c:v>78585</c:v>
                </c:pt>
                <c:pt idx="14">
                  <c:v>90675</c:v>
                </c:pt>
                <c:pt idx="15">
                  <c:v>96720</c:v>
                </c:pt>
                <c:pt idx="16">
                  <c:v>102765</c:v>
                </c:pt>
                <c:pt idx="17">
                  <c:v>108810</c:v>
                </c:pt>
                <c:pt idx="18">
                  <c:v>114855</c:v>
                </c:pt>
                <c:pt idx="19">
                  <c:v>120900</c:v>
                </c:pt>
                <c:pt idx="20">
                  <c:v>126945</c:v>
                </c:pt>
                <c:pt idx="21">
                  <c:v>132990</c:v>
                </c:pt>
                <c:pt idx="22">
                  <c:v>145080</c:v>
                </c:pt>
                <c:pt idx="23">
                  <c:v>151125</c:v>
                </c:pt>
                <c:pt idx="24">
                  <c:v>157170</c:v>
                </c:pt>
                <c:pt idx="25">
                  <c:v>163215</c:v>
                </c:pt>
                <c:pt idx="26">
                  <c:v>169260</c:v>
                </c:pt>
                <c:pt idx="27">
                  <c:v>175305</c:v>
                </c:pt>
                <c:pt idx="28">
                  <c:v>181350</c:v>
                </c:pt>
              </c:numCache>
            </c:numRef>
          </c:val>
          <c:smooth val="0"/>
          <c:extLst>
            <c:ext xmlns:c16="http://schemas.microsoft.com/office/drawing/2014/chart" uri="{C3380CC4-5D6E-409C-BE32-E72D297353CC}">
              <c16:uniqueId val="{00000002-A17A-4C7E-80E2-9F8C41BBAA9E}"/>
            </c:ext>
          </c:extLst>
        </c:ser>
        <c:ser>
          <c:idx val="3"/>
          <c:order val="3"/>
          <c:tx>
            <c:strRef>
              <c:f>'график bep для прямой задачи'!$H$1</c:f>
              <c:strCache>
                <c:ptCount val="1"/>
                <c:pt idx="0">
                  <c:v>TC</c:v>
                </c:pt>
              </c:strCache>
            </c:strRef>
          </c:tx>
          <c:spPr>
            <a:ln w="28575" cap="rnd">
              <a:solidFill>
                <a:schemeClr val="accent4"/>
              </a:solidFill>
              <a:round/>
            </a:ln>
            <a:effectLst/>
          </c:spPr>
          <c:marker>
            <c:symbol val="none"/>
          </c:marker>
          <c:cat>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прямой задачи'!$H$2:$H$30</c:f>
              <c:numCache>
                <c:formatCode>_("₽"* #,##0.00_);_("₽"* \(#,##0.00\);_("₽"* "-"??_);_(@_)</c:formatCode>
                <c:ptCount val="29"/>
                <c:pt idx="0">
                  <c:v>53610.044444444444</c:v>
                </c:pt>
                <c:pt idx="1">
                  <c:v>59655.044444444444</c:v>
                </c:pt>
                <c:pt idx="2">
                  <c:v>65700.044444444444</c:v>
                </c:pt>
                <c:pt idx="3">
                  <c:v>71745.044444444444</c:v>
                </c:pt>
                <c:pt idx="4">
                  <c:v>77790.044444444444</c:v>
                </c:pt>
                <c:pt idx="5">
                  <c:v>83835.044444444444</c:v>
                </c:pt>
                <c:pt idx="6">
                  <c:v>89880.044444444444</c:v>
                </c:pt>
                <c:pt idx="7">
                  <c:v>95925.044444444444</c:v>
                </c:pt>
                <c:pt idx="8">
                  <c:v>101970.04444444444</c:v>
                </c:pt>
                <c:pt idx="9">
                  <c:v>108015.04444444444</c:v>
                </c:pt>
                <c:pt idx="10">
                  <c:v>114060.04444444444</c:v>
                </c:pt>
                <c:pt idx="11">
                  <c:v>120105.04444444444</c:v>
                </c:pt>
                <c:pt idx="12">
                  <c:v>126150.04444444444</c:v>
                </c:pt>
                <c:pt idx="13">
                  <c:v>132195.04444444444</c:v>
                </c:pt>
                <c:pt idx="14">
                  <c:v>144285.04444444444</c:v>
                </c:pt>
                <c:pt idx="15">
                  <c:v>150330.04444444444</c:v>
                </c:pt>
                <c:pt idx="16">
                  <c:v>156375.04444444444</c:v>
                </c:pt>
                <c:pt idx="17">
                  <c:v>162420.04444444444</c:v>
                </c:pt>
                <c:pt idx="18">
                  <c:v>168465.04444444444</c:v>
                </c:pt>
                <c:pt idx="19">
                  <c:v>174510.04444444444</c:v>
                </c:pt>
                <c:pt idx="20">
                  <c:v>180555.04444444444</c:v>
                </c:pt>
                <c:pt idx="21">
                  <c:v>186600.04444444444</c:v>
                </c:pt>
                <c:pt idx="22">
                  <c:v>198690.04444444444</c:v>
                </c:pt>
                <c:pt idx="23">
                  <c:v>204735.04444444444</c:v>
                </c:pt>
                <c:pt idx="24">
                  <c:v>210780.04444444444</c:v>
                </c:pt>
                <c:pt idx="25">
                  <c:v>216825.04444444444</c:v>
                </c:pt>
                <c:pt idx="26">
                  <c:v>222870.04444444444</c:v>
                </c:pt>
                <c:pt idx="27">
                  <c:v>228915.04444444444</c:v>
                </c:pt>
                <c:pt idx="28">
                  <c:v>234960.04444444444</c:v>
                </c:pt>
              </c:numCache>
            </c:numRef>
          </c:val>
          <c:smooth val="0"/>
          <c:extLst>
            <c:ext xmlns:c16="http://schemas.microsoft.com/office/drawing/2014/chart" uri="{C3380CC4-5D6E-409C-BE32-E72D297353CC}">
              <c16:uniqueId val="{00000003-A17A-4C7E-80E2-9F8C41BBAA9E}"/>
            </c:ext>
          </c:extLst>
        </c:ser>
        <c:ser>
          <c:idx val="4"/>
          <c:order val="4"/>
          <c:tx>
            <c:strRef>
              <c:f>'график bep для прямой задачи'!$I$1</c:f>
              <c:strCache>
                <c:ptCount val="1"/>
                <c:pt idx="0">
                  <c:v>Выручка</c:v>
                </c:pt>
              </c:strCache>
            </c:strRef>
          </c:tx>
          <c:spPr>
            <a:ln w="28575" cap="rnd">
              <a:solidFill>
                <a:schemeClr val="accent5"/>
              </a:solidFill>
              <a:round/>
            </a:ln>
            <a:effectLst/>
          </c:spPr>
          <c:marker>
            <c:symbol val="none"/>
          </c:marker>
          <c:cat>
            <c:numRef>
              <c:f>'график bep для прямой задачи'!$E$2:$E$30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прямой задачи'!$I$2:$I$30</c:f>
              <c:numCache>
                <c:formatCode>_("₽"* #,##0.00_);_("₽"* \(#,##0.00\);_("₽"* "-"??_);_(@_)</c:formatCode>
                <c:ptCount val="29"/>
                <c:pt idx="0">
                  <c:v>0</c:v>
                </c:pt>
                <c:pt idx="1">
                  <c:v>9555</c:v>
                </c:pt>
                <c:pt idx="2">
                  <c:v>19110</c:v>
                </c:pt>
                <c:pt idx="3">
                  <c:v>28665</c:v>
                </c:pt>
                <c:pt idx="4">
                  <c:v>38220</c:v>
                </c:pt>
                <c:pt idx="5">
                  <c:v>47775</c:v>
                </c:pt>
                <c:pt idx="6">
                  <c:v>57330</c:v>
                </c:pt>
                <c:pt idx="7">
                  <c:v>66885</c:v>
                </c:pt>
                <c:pt idx="8">
                  <c:v>76440</c:v>
                </c:pt>
                <c:pt idx="9">
                  <c:v>85995</c:v>
                </c:pt>
                <c:pt idx="10">
                  <c:v>95550</c:v>
                </c:pt>
                <c:pt idx="11">
                  <c:v>105105</c:v>
                </c:pt>
                <c:pt idx="12">
                  <c:v>114660</c:v>
                </c:pt>
                <c:pt idx="13">
                  <c:v>124215</c:v>
                </c:pt>
                <c:pt idx="14">
                  <c:v>143325</c:v>
                </c:pt>
                <c:pt idx="15">
                  <c:v>152880</c:v>
                </c:pt>
                <c:pt idx="16">
                  <c:v>162435</c:v>
                </c:pt>
                <c:pt idx="17">
                  <c:v>171990</c:v>
                </c:pt>
                <c:pt idx="18">
                  <c:v>181545</c:v>
                </c:pt>
                <c:pt idx="19">
                  <c:v>191100</c:v>
                </c:pt>
                <c:pt idx="20">
                  <c:v>200655</c:v>
                </c:pt>
                <c:pt idx="21">
                  <c:v>210210</c:v>
                </c:pt>
                <c:pt idx="22">
                  <c:v>229320</c:v>
                </c:pt>
                <c:pt idx="23">
                  <c:v>238875</c:v>
                </c:pt>
                <c:pt idx="24">
                  <c:v>248430</c:v>
                </c:pt>
                <c:pt idx="25">
                  <c:v>257985</c:v>
                </c:pt>
                <c:pt idx="26">
                  <c:v>267540</c:v>
                </c:pt>
                <c:pt idx="27">
                  <c:v>277095</c:v>
                </c:pt>
                <c:pt idx="28">
                  <c:v>286650</c:v>
                </c:pt>
              </c:numCache>
            </c:numRef>
          </c:val>
          <c:smooth val="0"/>
          <c:extLst>
            <c:ext xmlns:c16="http://schemas.microsoft.com/office/drawing/2014/chart" uri="{C3380CC4-5D6E-409C-BE32-E72D297353CC}">
              <c16:uniqueId val="{00000004-A17A-4C7E-80E2-9F8C41BBAA9E}"/>
            </c:ext>
          </c:extLst>
        </c:ser>
        <c:dLbls>
          <c:showLegendKey val="0"/>
          <c:showVal val="0"/>
          <c:showCatName val="0"/>
          <c:showSerName val="0"/>
          <c:showPercent val="0"/>
          <c:showBubbleSize val="0"/>
        </c:dLbls>
        <c:smooth val="0"/>
        <c:axId val="313734319"/>
        <c:axId val="144656639"/>
      </c:lineChart>
      <c:catAx>
        <c:axId val="313734319"/>
        <c:scaling>
          <c:orientation val="minMax"/>
        </c:scaling>
        <c:delete val="0"/>
        <c:axPos val="b"/>
        <c:minorGridlines>
          <c:spPr>
            <a:ln w="9525" cap="flat" cmpd="sng" algn="ctr">
              <a:solidFill>
                <a:schemeClr val="tx1">
                  <a:lumMod val="5000"/>
                  <a:lumOff val="95000"/>
                </a:schemeClr>
              </a:solidFill>
              <a:round/>
            </a:ln>
            <a:effectLst/>
          </c:spPr>
        </c:minorGridlines>
        <c:numFmt formatCode="0.0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crossAx val="144656639"/>
        <c:crosses val="autoZero"/>
        <c:auto val="1"/>
        <c:lblAlgn val="ctr"/>
        <c:lblOffset val="100"/>
        <c:noMultiLvlLbl val="0"/>
      </c:catAx>
      <c:valAx>
        <c:axId val="144656639"/>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crossAx val="313734319"/>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ru-RU"/>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ru-RU"/>
              <a:t>Точка безубыточности</a:t>
            </a:r>
          </a:p>
          <a:p>
            <a:pPr>
              <a:defRPr/>
            </a:pPr>
            <a:endParaRPr lang="ru-R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ru-RU"/>
        </a:p>
      </c:txPr>
    </c:title>
    <c:autoTitleDeleted val="0"/>
    <c:plotArea>
      <c:layout>
        <c:manualLayout>
          <c:layoutTarget val="inner"/>
          <c:xMode val="edge"/>
          <c:yMode val="edge"/>
          <c:x val="0.16418810148731408"/>
          <c:y val="0.15319444444444447"/>
          <c:w val="0.82062729658792655"/>
          <c:h val="0.61498432487605714"/>
        </c:manualLayout>
      </c:layout>
      <c:lineChart>
        <c:grouping val="standard"/>
        <c:varyColors val="0"/>
        <c:ser>
          <c:idx val="0"/>
          <c:order val="0"/>
          <c:tx>
            <c:strRef>
              <c:f>'график bep для обратной задач '!$E$1</c:f>
              <c:strCache>
                <c:ptCount val="1"/>
                <c:pt idx="0">
                  <c:v>Объем производства</c:v>
                </c:pt>
              </c:strCache>
            </c:strRef>
          </c:tx>
          <c:spPr>
            <a:ln w="28575" cap="rnd">
              <a:solidFill>
                <a:srgbClr val="00B050"/>
              </a:solidFill>
              <a:round/>
            </a:ln>
            <a:effectLst/>
          </c:spPr>
          <c:marker>
            <c:symbol val="none"/>
          </c:marker>
          <c:cat>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val>
          <c:smooth val="0"/>
          <c:extLst>
            <c:ext xmlns:c16="http://schemas.microsoft.com/office/drawing/2014/chart" uri="{C3380CC4-5D6E-409C-BE32-E72D297353CC}">
              <c16:uniqueId val="{00000000-F876-4574-8DA2-4FFB41A4EDF8}"/>
            </c:ext>
          </c:extLst>
        </c:ser>
        <c:ser>
          <c:idx val="1"/>
          <c:order val="1"/>
          <c:tx>
            <c:strRef>
              <c:f>'график bep для обратной задач '!$F$1</c:f>
              <c:strCache>
                <c:ptCount val="1"/>
                <c:pt idx="0">
                  <c:v>FC</c:v>
                </c:pt>
              </c:strCache>
            </c:strRef>
          </c:tx>
          <c:spPr>
            <a:ln w="28575" cap="rnd">
              <a:solidFill>
                <a:schemeClr val="accent2"/>
              </a:solidFill>
              <a:round/>
            </a:ln>
            <a:effectLst/>
          </c:spPr>
          <c:marker>
            <c:symbol val="none"/>
          </c:marker>
          <c:cat>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обратной задач '!$F$2:$F$30</c:f>
              <c:numCache>
                <c:formatCode>_("₽"* #,##0.00_);_("₽"* \(#,##0.00\);_("₽"* "-"??_);_(@_)</c:formatCode>
                <c:ptCount val="29"/>
                <c:pt idx="0">
                  <c:v>66568.444444444438</c:v>
                </c:pt>
                <c:pt idx="1">
                  <c:v>66568.444444444438</c:v>
                </c:pt>
                <c:pt idx="2">
                  <c:v>66568.444444444438</c:v>
                </c:pt>
                <c:pt idx="3">
                  <c:v>66568.444444444438</c:v>
                </c:pt>
                <c:pt idx="4">
                  <c:v>66568.444444444438</c:v>
                </c:pt>
                <c:pt idx="5">
                  <c:v>66568.444444444438</c:v>
                </c:pt>
                <c:pt idx="6">
                  <c:v>66568.444444444438</c:v>
                </c:pt>
                <c:pt idx="7">
                  <c:v>66568.444444444438</c:v>
                </c:pt>
                <c:pt idx="8">
                  <c:v>66568.444444444438</c:v>
                </c:pt>
                <c:pt idx="9">
                  <c:v>66568.444444444438</c:v>
                </c:pt>
                <c:pt idx="10">
                  <c:v>66568.444444444438</c:v>
                </c:pt>
                <c:pt idx="11">
                  <c:v>66568.444444444438</c:v>
                </c:pt>
                <c:pt idx="12">
                  <c:v>66568.444444444438</c:v>
                </c:pt>
                <c:pt idx="13">
                  <c:v>66568.444444444438</c:v>
                </c:pt>
                <c:pt idx="14">
                  <c:v>66568.444444444438</c:v>
                </c:pt>
                <c:pt idx="15">
                  <c:v>66568.444444444438</c:v>
                </c:pt>
                <c:pt idx="16">
                  <c:v>66568.444444444438</c:v>
                </c:pt>
                <c:pt idx="17">
                  <c:v>66568.444444444438</c:v>
                </c:pt>
                <c:pt idx="18">
                  <c:v>66568.444444444438</c:v>
                </c:pt>
                <c:pt idx="19">
                  <c:v>66568.444444444438</c:v>
                </c:pt>
                <c:pt idx="20">
                  <c:v>66568.444444444438</c:v>
                </c:pt>
                <c:pt idx="21">
                  <c:v>66568.444444444438</c:v>
                </c:pt>
                <c:pt idx="22">
                  <c:v>66568.444444444438</c:v>
                </c:pt>
                <c:pt idx="23">
                  <c:v>66568.444444444438</c:v>
                </c:pt>
                <c:pt idx="24">
                  <c:v>66568.444444444438</c:v>
                </c:pt>
                <c:pt idx="25">
                  <c:v>66568.444444444438</c:v>
                </c:pt>
                <c:pt idx="26">
                  <c:v>66568.444444444438</c:v>
                </c:pt>
                <c:pt idx="27">
                  <c:v>66568.444444444438</c:v>
                </c:pt>
                <c:pt idx="28">
                  <c:v>66568.444444444438</c:v>
                </c:pt>
              </c:numCache>
            </c:numRef>
          </c:val>
          <c:smooth val="0"/>
          <c:extLst>
            <c:ext xmlns:c16="http://schemas.microsoft.com/office/drawing/2014/chart" uri="{C3380CC4-5D6E-409C-BE32-E72D297353CC}">
              <c16:uniqueId val="{00000001-F876-4574-8DA2-4FFB41A4EDF8}"/>
            </c:ext>
          </c:extLst>
        </c:ser>
        <c:ser>
          <c:idx val="2"/>
          <c:order val="2"/>
          <c:tx>
            <c:strRef>
              <c:f>'график bep для обратной задач '!$G$1</c:f>
              <c:strCache>
                <c:ptCount val="1"/>
                <c:pt idx="0">
                  <c:v>VC</c:v>
                </c:pt>
              </c:strCache>
            </c:strRef>
          </c:tx>
          <c:spPr>
            <a:ln w="28575" cap="rnd">
              <a:solidFill>
                <a:schemeClr val="accent3"/>
              </a:solidFill>
              <a:round/>
            </a:ln>
            <a:effectLst/>
          </c:spPr>
          <c:marker>
            <c:symbol val="none"/>
          </c:marker>
          <c:cat>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обратной задач '!$G$2:$G$30</c:f>
              <c:numCache>
                <c:formatCode>_("₽"* #,##0.00_);_("₽"* \(#,##0.00\);_("₽"* "-"??_);_(@_)</c:formatCode>
                <c:ptCount val="29"/>
                <c:pt idx="0">
                  <c:v>0</c:v>
                </c:pt>
                <c:pt idx="1">
                  <c:v>6110</c:v>
                </c:pt>
                <c:pt idx="2">
                  <c:v>12220</c:v>
                </c:pt>
                <c:pt idx="3">
                  <c:v>18330</c:v>
                </c:pt>
                <c:pt idx="4">
                  <c:v>24440</c:v>
                </c:pt>
                <c:pt idx="5">
                  <c:v>30550</c:v>
                </c:pt>
                <c:pt idx="6">
                  <c:v>36660</c:v>
                </c:pt>
                <c:pt idx="7">
                  <c:v>42770</c:v>
                </c:pt>
                <c:pt idx="8">
                  <c:v>48880</c:v>
                </c:pt>
                <c:pt idx="9">
                  <c:v>54990</c:v>
                </c:pt>
                <c:pt idx="10">
                  <c:v>61100</c:v>
                </c:pt>
                <c:pt idx="11">
                  <c:v>67210</c:v>
                </c:pt>
                <c:pt idx="12">
                  <c:v>73320</c:v>
                </c:pt>
                <c:pt idx="13">
                  <c:v>79430</c:v>
                </c:pt>
                <c:pt idx="14">
                  <c:v>91650</c:v>
                </c:pt>
                <c:pt idx="15">
                  <c:v>97760</c:v>
                </c:pt>
                <c:pt idx="16">
                  <c:v>103870</c:v>
                </c:pt>
                <c:pt idx="17">
                  <c:v>109980</c:v>
                </c:pt>
                <c:pt idx="18">
                  <c:v>116090</c:v>
                </c:pt>
                <c:pt idx="19">
                  <c:v>122200</c:v>
                </c:pt>
                <c:pt idx="20">
                  <c:v>128310</c:v>
                </c:pt>
                <c:pt idx="21">
                  <c:v>134420</c:v>
                </c:pt>
                <c:pt idx="22">
                  <c:v>146640</c:v>
                </c:pt>
                <c:pt idx="23">
                  <c:v>152750</c:v>
                </c:pt>
                <c:pt idx="24">
                  <c:v>158860</c:v>
                </c:pt>
                <c:pt idx="25">
                  <c:v>164970</c:v>
                </c:pt>
                <c:pt idx="26">
                  <c:v>171080</c:v>
                </c:pt>
                <c:pt idx="27">
                  <c:v>177190</c:v>
                </c:pt>
                <c:pt idx="28">
                  <c:v>183300</c:v>
                </c:pt>
              </c:numCache>
            </c:numRef>
          </c:val>
          <c:smooth val="0"/>
          <c:extLst>
            <c:ext xmlns:c16="http://schemas.microsoft.com/office/drawing/2014/chart" uri="{C3380CC4-5D6E-409C-BE32-E72D297353CC}">
              <c16:uniqueId val="{00000002-F876-4574-8DA2-4FFB41A4EDF8}"/>
            </c:ext>
          </c:extLst>
        </c:ser>
        <c:ser>
          <c:idx val="3"/>
          <c:order val="3"/>
          <c:tx>
            <c:strRef>
              <c:f>'график bep для обратной задач '!$H$1</c:f>
              <c:strCache>
                <c:ptCount val="1"/>
                <c:pt idx="0">
                  <c:v>TC</c:v>
                </c:pt>
              </c:strCache>
            </c:strRef>
          </c:tx>
          <c:spPr>
            <a:ln w="28575" cap="rnd">
              <a:solidFill>
                <a:schemeClr val="accent4"/>
              </a:solidFill>
              <a:round/>
            </a:ln>
            <a:effectLst/>
          </c:spPr>
          <c:marker>
            <c:symbol val="none"/>
          </c:marker>
          <c:cat>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обратной задач '!$H$2:$H$30</c:f>
              <c:numCache>
                <c:formatCode>_("₽"* #,##0.00_);_("₽"* \(#,##0.00\);_("₽"* "-"??_);_(@_)</c:formatCode>
                <c:ptCount val="29"/>
                <c:pt idx="0">
                  <c:v>66568.444444444438</c:v>
                </c:pt>
                <c:pt idx="1">
                  <c:v>72678.444444444438</c:v>
                </c:pt>
                <c:pt idx="2">
                  <c:v>78788.444444444438</c:v>
                </c:pt>
                <c:pt idx="3">
                  <c:v>84898.444444444438</c:v>
                </c:pt>
                <c:pt idx="4">
                  <c:v>91008.444444444438</c:v>
                </c:pt>
                <c:pt idx="5">
                  <c:v>97118.444444444438</c:v>
                </c:pt>
                <c:pt idx="6">
                  <c:v>103228.44444444444</c:v>
                </c:pt>
                <c:pt idx="7">
                  <c:v>109338.44444444444</c:v>
                </c:pt>
                <c:pt idx="8">
                  <c:v>115448.44444444444</c:v>
                </c:pt>
                <c:pt idx="9">
                  <c:v>121558.44444444444</c:v>
                </c:pt>
                <c:pt idx="10">
                  <c:v>127668.44444444444</c:v>
                </c:pt>
                <c:pt idx="11">
                  <c:v>133778.44444444444</c:v>
                </c:pt>
                <c:pt idx="12">
                  <c:v>139888.44444444444</c:v>
                </c:pt>
                <c:pt idx="13">
                  <c:v>145998.44444444444</c:v>
                </c:pt>
                <c:pt idx="14">
                  <c:v>158218.44444444444</c:v>
                </c:pt>
                <c:pt idx="15">
                  <c:v>164328.44444444444</c:v>
                </c:pt>
                <c:pt idx="16">
                  <c:v>170438.44444444444</c:v>
                </c:pt>
                <c:pt idx="17">
                  <c:v>176548.44444444444</c:v>
                </c:pt>
                <c:pt idx="18">
                  <c:v>182658.44444444444</c:v>
                </c:pt>
                <c:pt idx="19">
                  <c:v>188768.44444444444</c:v>
                </c:pt>
                <c:pt idx="20">
                  <c:v>194878.44444444444</c:v>
                </c:pt>
                <c:pt idx="21">
                  <c:v>200988.44444444444</c:v>
                </c:pt>
                <c:pt idx="22">
                  <c:v>213208.44444444444</c:v>
                </c:pt>
                <c:pt idx="23">
                  <c:v>219318.44444444444</c:v>
                </c:pt>
                <c:pt idx="24">
                  <c:v>225428.44444444444</c:v>
                </c:pt>
                <c:pt idx="25">
                  <c:v>231538.44444444444</c:v>
                </c:pt>
                <c:pt idx="26">
                  <c:v>237648.44444444444</c:v>
                </c:pt>
                <c:pt idx="27">
                  <c:v>243758.44444444444</c:v>
                </c:pt>
                <c:pt idx="28">
                  <c:v>249868.44444444444</c:v>
                </c:pt>
              </c:numCache>
            </c:numRef>
          </c:val>
          <c:smooth val="0"/>
          <c:extLst>
            <c:ext xmlns:c16="http://schemas.microsoft.com/office/drawing/2014/chart" uri="{C3380CC4-5D6E-409C-BE32-E72D297353CC}">
              <c16:uniqueId val="{00000003-F876-4574-8DA2-4FFB41A4EDF8}"/>
            </c:ext>
          </c:extLst>
        </c:ser>
        <c:ser>
          <c:idx val="4"/>
          <c:order val="4"/>
          <c:tx>
            <c:strRef>
              <c:f>'график bep для обратной задач '!$I$1</c:f>
              <c:strCache>
                <c:ptCount val="1"/>
                <c:pt idx="0">
                  <c:v>Выручка</c:v>
                </c:pt>
              </c:strCache>
            </c:strRef>
          </c:tx>
          <c:spPr>
            <a:ln w="28575" cap="rnd">
              <a:solidFill>
                <a:schemeClr val="accent5"/>
              </a:solidFill>
              <a:round/>
            </a:ln>
            <a:effectLst/>
          </c:spPr>
          <c:marker>
            <c:symbol val="none"/>
          </c:marker>
          <c:cat>
            <c:numRef>
              <c:f>'график bep для обратной задач '!$E$2:$E$30</c:f>
              <c:numCache>
                <c:formatCode>0.00</c:formatCode>
                <c:ptCount val="29"/>
                <c:pt idx="0">
                  <c:v>0</c:v>
                </c:pt>
                <c:pt idx="1">
                  <c:v>500</c:v>
                </c:pt>
                <c:pt idx="2">
                  <c:v>1000</c:v>
                </c:pt>
                <c:pt idx="3">
                  <c:v>1500</c:v>
                </c:pt>
                <c:pt idx="4">
                  <c:v>2000</c:v>
                </c:pt>
                <c:pt idx="5">
                  <c:v>2500</c:v>
                </c:pt>
                <c:pt idx="6">
                  <c:v>3000</c:v>
                </c:pt>
                <c:pt idx="7">
                  <c:v>3500</c:v>
                </c:pt>
                <c:pt idx="8">
                  <c:v>4000</c:v>
                </c:pt>
                <c:pt idx="9">
                  <c:v>4500</c:v>
                </c:pt>
                <c:pt idx="10">
                  <c:v>5000</c:v>
                </c:pt>
                <c:pt idx="11">
                  <c:v>5500</c:v>
                </c:pt>
                <c:pt idx="12">
                  <c:v>6000</c:v>
                </c:pt>
                <c:pt idx="13">
                  <c:v>6500</c:v>
                </c:pt>
                <c:pt idx="14">
                  <c:v>7500</c:v>
                </c:pt>
                <c:pt idx="15">
                  <c:v>8000</c:v>
                </c:pt>
                <c:pt idx="16">
                  <c:v>8500</c:v>
                </c:pt>
                <c:pt idx="17">
                  <c:v>9000</c:v>
                </c:pt>
                <c:pt idx="18">
                  <c:v>9500</c:v>
                </c:pt>
                <c:pt idx="19">
                  <c:v>10000</c:v>
                </c:pt>
                <c:pt idx="20">
                  <c:v>10500</c:v>
                </c:pt>
                <c:pt idx="21">
                  <c:v>11000</c:v>
                </c:pt>
                <c:pt idx="22">
                  <c:v>12000</c:v>
                </c:pt>
                <c:pt idx="23">
                  <c:v>12500</c:v>
                </c:pt>
                <c:pt idx="24">
                  <c:v>13000</c:v>
                </c:pt>
                <c:pt idx="25">
                  <c:v>13500</c:v>
                </c:pt>
                <c:pt idx="26">
                  <c:v>14000</c:v>
                </c:pt>
                <c:pt idx="27">
                  <c:v>14500</c:v>
                </c:pt>
                <c:pt idx="28">
                  <c:v>15000</c:v>
                </c:pt>
              </c:numCache>
            </c:numRef>
          </c:cat>
          <c:val>
            <c:numRef>
              <c:f>'график bep для обратной задач '!$I$2:$I$30</c:f>
              <c:numCache>
                <c:formatCode>_("₽"* #,##0.00_);_("₽"* \(#,##0.00\);_("₽"* "-"??_);_(@_)</c:formatCode>
                <c:ptCount val="29"/>
                <c:pt idx="0">
                  <c:v>0</c:v>
                </c:pt>
                <c:pt idx="1">
                  <c:v>10365</c:v>
                </c:pt>
                <c:pt idx="2">
                  <c:v>20730</c:v>
                </c:pt>
                <c:pt idx="3">
                  <c:v>31095</c:v>
                </c:pt>
                <c:pt idx="4">
                  <c:v>41460</c:v>
                </c:pt>
                <c:pt idx="5">
                  <c:v>51825</c:v>
                </c:pt>
                <c:pt idx="6">
                  <c:v>62190</c:v>
                </c:pt>
                <c:pt idx="7">
                  <c:v>72555</c:v>
                </c:pt>
                <c:pt idx="8">
                  <c:v>82920</c:v>
                </c:pt>
                <c:pt idx="9">
                  <c:v>93285</c:v>
                </c:pt>
                <c:pt idx="10">
                  <c:v>103650</c:v>
                </c:pt>
                <c:pt idx="11">
                  <c:v>114015</c:v>
                </c:pt>
                <c:pt idx="12">
                  <c:v>124380</c:v>
                </c:pt>
                <c:pt idx="13">
                  <c:v>134745</c:v>
                </c:pt>
                <c:pt idx="14">
                  <c:v>155475</c:v>
                </c:pt>
                <c:pt idx="15">
                  <c:v>165840</c:v>
                </c:pt>
                <c:pt idx="16">
                  <c:v>176205</c:v>
                </c:pt>
                <c:pt idx="17">
                  <c:v>186570</c:v>
                </c:pt>
                <c:pt idx="18">
                  <c:v>196935</c:v>
                </c:pt>
                <c:pt idx="19">
                  <c:v>207300</c:v>
                </c:pt>
                <c:pt idx="20">
                  <c:v>217665</c:v>
                </c:pt>
                <c:pt idx="21">
                  <c:v>228030</c:v>
                </c:pt>
                <c:pt idx="22">
                  <c:v>248760</c:v>
                </c:pt>
                <c:pt idx="23">
                  <c:v>259125</c:v>
                </c:pt>
                <c:pt idx="24">
                  <c:v>269490</c:v>
                </c:pt>
                <c:pt idx="25">
                  <c:v>279855</c:v>
                </c:pt>
                <c:pt idx="26">
                  <c:v>290220</c:v>
                </c:pt>
                <c:pt idx="27">
                  <c:v>300585</c:v>
                </c:pt>
                <c:pt idx="28">
                  <c:v>310950</c:v>
                </c:pt>
              </c:numCache>
            </c:numRef>
          </c:val>
          <c:smooth val="0"/>
          <c:extLst>
            <c:ext xmlns:c16="http://schemas.microsoft.com/office/drawing/2014/chart" uri="{C3380CC4-5D6E-409C-BE32-E72D297353CC}">
              <c16:uniqueId val="{00000004-F876-4574-8DA2-4FFB41A4EDF8}"/>
            </c:ext>
          </c:extLst>
        </c:ser>
        <c:dLbls>
          <c:showLegendKey val="0"/>
          <c:showVal val="0"/>
          <c:showCatName val="0"/>
          <c:showSerName val="0"/>
          <c:showPercent val="0"/>
          <c:showBubbleSize val="0"/>
        </c:dLbls>
        <c:smooth val="0"/>
        <c:axId val="313734319"/>
        <c:axId val="144656639"/>
      </c:lineChart>
      <c:catAx>
        <c:axId val="313734319"/>
        <c:scaling>
          <c:orientation val="minMax"/>
        </c:scaling>
        <c:delete val="0"/>
        <c:axPos val="b"/>
        <c:minorGridlines>
          <c:spPr>
            <a:ln w="9525" cap="flat" cmpd="sng" algn="ctr">
              <a:solidFill>
                <a:schemeClr val="tx1">
                  <a:lumMod val="5000"/>
                  <a:lumOff val="95000"/>
                </a:schemeClr>
              </a:solidFill>
              <a:round/>
            </a:ln>
            <a:effectLst/>
          </c:spPr>
        </c:minorGridlines>
        <c:numFmt formatCode="0.0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crossAx val="144656639"/>
        <c:crosses val="autoZero"/>
        <c:auto val="1"/>
        <c:lblAlgn val="ctr"/>
        <c:lblOffset val="100"/>
        <c:noMultiLvlLbl val="0"/>
      </c:catAx>
      <c:valAx>
        <c:axId val="144656639"/>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crossAx val="313734319"/>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ru-R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ru-RU"/>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9</xdr:col>
      <xdr:colOff>281940</xdr:colOff>
      <xdr:row>1</xdr:row>
      <xdr:rowOff>72390</xdr:rowOff>
    </xdr:from>
    <xdr:to>
      <xdr:col>19</xdr:col>
      <xdr:colOff>464820</xdr:colOff>
      <xdr:row>29</xdr:row>
      <xdr:rowOff>76200</xdr:rowOff>
    </xdr:to>
    <xdr:graphicFrame macro="">
      <xdr:nvGraphicFramePr>
        <xdr:cNvPr id="8" name="Диаграмма 7">
          <a:extLst>
            <a:ext uri="{FF2B5EF4-FFF2-40B4-BE49-F238E27FC236}">
              <a16:creationId xmlns:a16="http://schemas.microsoft.com/office/drawing/2014/main" id="{0EEC8995-3643-4C77-942B-6CFAE476DC8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9</xdr:col>
      <xdr:colOff>281940</xdr:colOff>
      <xdr:row>1</xdr:row>
      <xdr:rowOff>72390</xdr:rowOff>
    </xdr:from>
    <xdr:to>
      <xdr:col>19</xdr:col>
      <xdr:colOff>464820</xdr:colOff>
      <xdr:row>29</xdr:row>
      <xdr:rowOff>76200</xdr:rowOff>
    </xdr:to>
    <xdr:graphicFrame macro="">
      <xdr:nvGraphicFramePr>
        <xdr:cNvPr id="2" name="Диаграмма 1">
          <a:extLst>
            <a:ext uri="{FF2B5EF4-FFF2-40B4-BE49-F238E27FC236}">
              <a16:creationId xmlns:a16="http://schemas.microsoft.com/office/drawing/2014/main" id="{515C3FBF-26A3-4953-B092-7EEA7C6D4B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0"/>
  <sheetViews>
    <sheetView topLeftCell="A10" workbookViewId="0">
      <selection activeCell="C30" sqref="C29:C30"/>
    </sheetView>
  </sheetViews>
  <sheetFormatPr defaultRowHeight="14.4" x14ac:dyDescent="0.3"/>
  <cols>
    <col min="1" max="1" width="37.33203125" customWidth="1"/>
    <col min="2" max="2" width="15.77734375" customWidth="1"/>
    <col min="3" max="3" width="17.21875" customWidth="1"/>
    <col min="4" max="4" width="21.33203125" customWidth="1"/>
    <col min="6" max="6" width="28.33203125" customWidth="1"/>
    <col min="7" max="7" width="17.33203125" customWidth="1"/>
    <col min="8" max="8" width="12.77734375" customWidth="1"/>
  </cols>
  <sheetData>
    <row r="1" spans="1:8" ht="46.8" customHeight="1" x14ac:dyDescent="0.3">
      <c r="A1" s="22" t="s">
        <v>61</v>
      </c>
      <c r="B1" s="6" t="s">
        <v>8</v>
      </c>
      <c r="C1" s="3"/>
      <c r="D1" s="3"/>
      <c r="E1" s="3"/>
      <c r="F1" s="5" t="s">
        <v>15</v>
      </c>
      <c r="G1" s="5" t="s">
        <v>20</v>
      </c>
      <c r="H1" s="5" t="s">
        <v>16</v>
      </c>
    </row>
    <row r="2" spans="1:8" ht="15.6" x14ac:dyDescent="0.3">
      <c r="A2" s="5" t="s">
        <v>1</v>
      </c>
      <c r="B2" s="7">
        <v>136000</v>
      </c>
      <c r="C2" s="3"/>
      <c r="D2" s="3"/>
      <c r="E2" s="3"/>
      <c r="F2" s="6">
        <f>5+8</f>
        <v>13</v>
      </c>
      <c r="G2" s="6">
        <v>5200</v>
      </c>
      <c r="H2" s="6">
        <f>5*8*4</f>
        <v>160</v>
      </c>
    </row>
    <row r="3" spans="1:8" ht="15.6" x14ac:dyDescent="0.3">
      <c r="A3" s="5" t="s">
        <v>2</v>
      </c>
      <c r="B3" s="7">
        <v>121000</v>
      </c>
      <c r="C3" s="3"/>
      <c r="D3" s="3"/>
      <c r="E3" s="3"/>
      <c r="F3" s="3"/>
      <c r="G3" s="3"/>
      <c r="H3" s="3"/>
    </row>
    <row r="4" spans="1:8" ht="15.6" x14ac:dyDescent="0.3">
      <c r="A4" s="5" t="s">
        <v>3</v>
      </c>
      <c r="B4" s="7">
        <v>118000</v>
      </c>
      <c r="C4" s="3"/>
      <c r="D4" s="3"/>
      <c r="E4" s="3"/>
      <c r="F4" s="3"/>
      <c r="G4" s="3"/>
      <c r="H4" s="3"/>
    </row>
    <row r="5" spans="1:8" ht="15.6" x14ac:dyDescent="0.3">
      <c r="A5" s="3"/>
      <c r="B5" s="8"/>
      <c r="C5" s="3"/>
      <c r="D5" s="3"/>
      <c r="E5" s="3"/>
      <c r="F5" s="3"/>
      <c r="G5" s="3"/>
      <c r="H5" s="3"/>
    </row>
    <row r="6" spans="1:8" ht="15.6" x14ac:dyDescent="0.3">
      <c r="A6" s="5" t="s">
        <v>4</v>
      </c>
      <c r="B6" s="6" t="s">
        <v>6</v>
      </c>
      <c r="C6" s="3"/>
      <c r="D6" s="3"/>
      <c r="E6" s="3"/>
      <c r="F6" s="3"/>
      <c r="G6" s="3"/>
      <c r="H6" s="3"/>
    </row>
    <row r="7" spans="1:8" ht="15.6" x14ac:dyDescent="0.3">
      <c r="A7" s="5" t="s">
        <v>1</v>
      </c>
      <c r="B7" s="9">
        <v>5</v>
      </c>
      <c r="C7" s="3"/>
      <c r="D7" s="3"/>
      <c r="E7" s="3"/>
      <c r="F7" s="5" t="s">
        <v>30</v>
      </c>
      <c r="G7" s="5"/>
      <c r="H7" s="3"/>
    </row>
    <row r="8" spans="1:8" ht="15.6" x14ac:dyDescent="0.3">
      <c r="A8" s="5" t="s">
        <v>2</v>
      </c>
      <c r="B8" s="9">
        <v>3</v>
      </c>
      <c r="C8" s="3"/>
      <c r="D8" s="3"/>
      <c r="E8" s="3"/>
      <c r="F8" s="5" t="s">
        <v>31</v>
      </c>
      <c r="G8" s="19">
        <f>(D17+D18+D19)*B26</f>
        <v>52222.399999999994</v>
      </c>
      <c r="H8" s="3"/>
    </row>
    <row r="9" spans="1:8" ht="15.6" x14ac:dyDescent="0.3">
      <c r="A9" s="5" t="s">
        <v>3</v>
      </c>
      <c r="B9" s="9">
        <v>2</v>
      </c>
      <c r="C9" s="3"/>
      <c r="D9" s="3"/>
      <c r="E9" s="3"/>
      <c r="F9" s="5" t="s">
        <v>34</v>
      </c>
      <c r="G9" s="17">
        <f>(B12*C12+B13*C13+B14*C14)*160*B23</f>
        <v>3057.6</v>
      </c>
      <c r="H9" s="3"/>
    </row>
    <row r="10" spans="1:8" ht="15.6" x14ac:dyDescent="0.3">
      <c r="A10" s="3"/>
      <c r="B10" s="10"/>
      <c r="C10" s="3"/>
      <c r="D10" s="3"/>
      <c r="E10" s="3"/>
      <c r="F10" s="5" t="s">
        <v>35</v>
      </c>
      <c r="G10" s="20">
        <f>G8+G9</f>
        <v>55279.999999999993</v>
      </c>
      <c r="H10" s="3"/>
    </row>
    <row r="11" spans="1:8" ht="66" customHeight="1" x14ac:dyDescent="0.3">
      <c r="A11" s="5" t="s">
        <v>5</v>
      </c>
      <c r="B11" s="11" t="s">
        <v>7</v>
      </c>
      <c r="C11" s="22" t="s">
        <v>36</v>
      </c>
      <c r="D11" s="3"/>
      <c r="E11" s="3"/>
      <c r="F11" s="25" t="s">
        <v>37</v>
      </c>
      <c r="G11" s="25"/>
      <c r="H11" s="3"/>
    </row>
    <row r="12" spans="1:8" ht="15.6" x14ac:dyDescent="0.3">
      <c r="A12" s="5" t="s">
        <v>1</v>
      </c>
      <c r="B12" s="9">
        <v>20</v>
      </c>
      <c r="C12" s="23">
        <v>0.8</v>
      </c>
      <c r="D12" s="3"/>
      <c r="E12" s="3"/>
      <c r="F12" s="5" t="s">
        <v>1</v>
      </c>
      <c r="G12" s="7">
        <f>B2/60</f>
        <v>2266.6666666666665</v>
      </c>
      <c r="H12" s="3"/>
    </row>
    <row r="13" spans="1:8" ht="15.6" x14ac:dyDescent="0.3">
      <c r="A13" s="5" t="s">
        <v>2</v>
      </c>
      <c r="B13" s="9">
        <v>10</v>
      </c>
      <c r="C13" s="23">
        <v>0.8</v>
      </c>
      <c r="D13" s="3"/>
      <c r="E13" s="3"/>
      <c r="F13" s="5" t="s">
        <v>2</v>
      </c>
      <c r="G13" s="7">
        <f>B3/36</f>
        <v>3361.1111111111113</v>
      </c>
      <c r="H13" s="3"/>
    </row>
    <row r="14" spans="1:8" ht="15.6" x14ac:dyDescent="0.3">
      <c r="A14" s="5" t="s">
        <v>3</v>
      </c>
      <c r="B14" s="9">
        <v>1</v>
      </c>
      <c r="C14" s="23">
        <v>0.5</v>
      </c>
      <c r="D14" s="3"/>
      <c r="E14" s="3"/>
      <c r="F14" s="5" t="s">
        <v>3</v>
      </c>
      <c r="G14" s="7">
        <f>B4/24</f>
        <v>4916.666666666667</v>
      </c>
      <c r="H14" s="3"/>
    </row>
    <row r="15" spans="1:8" ht="15.6" x14ac:dyDescent="0.3">
      <c r="A15" s="3"/>
      <c r="B15" s="3"/>
      <c r="C15" s="3"/>
      <c r="D15" s="3"/>
      <c r="E15" s="3"/>
      <c r="F15" s="5" t="s">
        <v>35</v>
      </c>
      <c r="G15" s="7">
        <f>SUM(G12:G14)</f>
        <v>10544.444444444445</v>
      </c>
      <c r="H15" s="3"/>
    </row>
    <row r="16" spans="1:8" ht="45" customHeight="1" x14ac:dyDescent="0.3">
      <c r="A16" s="12" t="s">
        <v>9</v>
      </c>
      <c r="B16" s="13" t="s">
        <v>14</v>
      </c>
      <c r="C16" s="5" t="s">
        <v>10</v>
      </c>
      <c r="D16" s="5" t="s">
        <v>32</v>
      </c>
      <c r="E16" s="3"/>
      <c r="F16" s="3"/>
      <c r="G16" s="3"/>
      <c r="H16" s="3"/>
    </row>
    <row r="17" spans="1:8" ht="15.6" x14ac:dyDescent="0.3">
      <c r="A17" s="12" t="s">
        <v>11</v>
      </c>
      <c r="B17" s="14">
        <v>0.6</v>
      </c>
      <c r="C17" s="15">
        <v>6.4</v>
      </c>
      <c r="D17" s="21">
        <f>B17*C17</f>
        <v>3.84</v>
      </c>
      <c r="E17" s="3"/>
      <c r="F17" s="3"/>
      <c r="G17" s="3"/>
      <c r="H17" s="3"/>
    </row>
    <row r="18" spans="1:8" ht="15.6" x14ac:dyDescent="0.3">
      <c r="A18" s="12" t="s">
        <v>12</v>
      </c>
      <c r="B18" s="16">
        <v>0.05</v>
      </c>
      <c r="C18" s="15">
        <v>14</v>
      </c>
      <c r="D18" s="21">
        <f t="shared" ref="D18:D19" si="0">B18*C18</f>
        <v>0.70000000000000007</v>
      </c>
      <c r="E18" s="3"/>
      <c r="F18" s="3"/>
      <c r="G18" s="3"/>
      <c r="H18" s="3"/>
    </row>
    <row r="19" spans="1:8" ht="15.6" x14ac:dyDescent="0.3">
      <c r="A19" s="12" t="s">
        <v>13</v>
      </c>
      <c r="B19" s="16">
        <v>0.01</v>
      </c>
      <c r="C19" s="15">
        <v>60</v>
      </c>
      <c r="D19" s="21">
        <f t="shared" si="0"/>
        <v>0.6</v>
      </c>
      <c r="E19" s="3"/>
      <c r="F19" s="3"/>
      <c r="G19" s="3"/>
      <c r="H19" s="3"/>
    </row>
    <row r="20" spans="1:8" ht="15.6" x14ac:dyDescent="0.3">
      <c r="A20" s="3"/>
      <c r="B20" s="3"/>
      <c r="C20" s="3"/>
      <c r="D20" s="3"/>
      <c r="E20" s="3"/>
      <c r="F20" s="3"/>
      <c r="G20" s="3"/>
      <c r="H20" s="3"/>
    </row>
    <row r="21" spans="1:8" ht="15.6" x14ac:dyDescent="0.3">
      <c r="A21" s="3"/>
      <c r="B21" s="3"/>
      <c r="C21" s="3"/>
      <c r="D21" s="3"/>
      <c r="E21" s="3"/>
      <c r="F21" s="3"/>
      <c r="G21" s="3"/>
      <c r="H21" s="3"/>
    </row>
    <row r="22" spans="1:8" ht="15.6" x14ac:dyDescent="0.3">
      <c r="A22" s="12" t="s">
        <v>17</v>
      </c>
      <c r="B22" s="17">
        <v>9000</v>
      </c>
      <c r="C22" s="3"/>
      <c r="D22" s="3"/>
      <c r="E22" s="3"/>
      <c r="F22" s="3"/>
      <c r="G22" s="3"/>
      <c r="H22" s="3"/>
    </row>
    <row r="23" spans="1:8" ht="15.6" x14ac:dyDescent="0.3">
      <c r="A23" s="12" t="s">
        <v>18</v>
      </c>
      <c r="B23" s="17">
        <v>0.78</v>
      </c>
      <c r="C23" s="3"/>
      <c r="D23" s="3"/>
      <c r="E23" s="3"/>
      <c r="F23" s="3"/>
      <c r="G23" s="3"/>
      <c r="H23" s="3"/>
    </row>
    <row r="24" spans="1:8" ht="15.6" x14ac:dyDescent="0.3">
      <c r="A24" s="12" t="s">
        <v>29</v>
      </c>
      <c r="B24" s="17">
        <v>10000</v>
      </c>
      <c r="C24" s="3"/>
      <c r="D24" s="3"/>
      <c r="E24" s="3"/>
      <c r="F24" s="3"/>
      <c r="G24" s="3"/>
      <c r="H24" s="3"/>
    </row>
    <row r="25" spans="1:8" ht="15.6" x14ac:dyDescent="0.3">
      <c r="A25" s="12" t="s">
        <v>19</v>
      </c>
      <c r="B25" s="9">
        <f>500+8</f>
        <v>508</v>
      </c>
      <c r="C25" s="3"/>
      <c r="D25" s="3"/>
      <c r="E25" s="3"/>
      <c r="F25" s="3"/>
      <c r="G25" s="3"/>
      <c r="H25" s="3"/>
    </row>
    <row r="26" spans="1:8" ht="15.6" x14ac:dyDescent="0.3">
      <c r="A26" s="12" t="s">
        <v>33</v>
      </c>
      <c r="B26" s="5">
        <f>B25*20</f>
        <v>10160</v>
      </c>
      <c r="C26" s="3"/>
      <c r="D26" s="3"/>
      <c r="E26" s="3"/>
      <c r="F26" s="3"/>
      <c r="G26" s="3"/>
      <c r="H26" s="3"/>
    </row>
    <row r="27" spans="1:8" ht="15.6" x14ac:dyDescent="0.3">
      <c r="A27" s="3"/>
      <c r="B27" s="3"/>
      <c r="C27" s="3"/>
      <c r="D27" s="3"/>
      <c r="E27" s="3"/>
      <c r="F27" s="3"/>
      <c r="G27" s="3"/>
      <c r="H27" s="3"/>
    </row>
    <row r="28" spans="1:8" ht="15.6" x14ac:dyDescent="0.3">
      <c r="A28" s="3" t="s">
        <v>21</v>
      </c>
      <c r="B28" s="3" t="s">
        <v>28</v>
      </c>
      <c r="C28" s="3" t="s">
        <v>52</v>
      </c>
      <c r="D28" s="3"/>
      <c r="E28" s="3"/>
      <c r="F28" s="3"/>
      <c r="G28" s="3"/>
      <c r="H28" s="3"/>
    </row>
    <row r="29" spans="1:8" ht="15.6" x14ac:dyDescent="0.3">
      <c r="A29" s="3" t="s">
        <v>22</v>
      </c>
      <c r="B29" s="4">
        <f>G10</f>
        <v>55279.999999999993</v>
      </c>
      <c r="C29" s="4">
        <f>B29/B26</f>
        <v>5.440944881889763</v>
      </c>
      <c r="D29" s="3"/>
      <c r="E29" s="3"/>
      <c r="F29" s="3"/>
      <c r="G29" s="3"/>
      <c r="H29" s="3"/>
    </row>
    <row r="30" spans="1:8" ht="15.6" x14ac:dyDescent="0.3">
      <c r="A30" s="3" t="s">
        <v>23</v>
      </c>
      <c r="B30" s="4">
        <f>G2*F2</f>
        <v>67600</v>
      </c>
      <c r="C30" s="4">
        <f>B30/B26</f>
        <v>6.6535433070866139</v>
      </c>
      <c r="D30" s="3"/>
      <c r="E30" s="3"/>
      <c r="F30" s="3"/>
      <c r="G30" s="3"/>
      <c r="H30" s="3"/>
    </row>
    <row r="31" spans="1:8" ht="15.6" x14ac:dyDescent="0.3">
      <c r="A31" s="3" t="s">
        <v>24</v>
      </c>
      <c r="B31" s="4">
        <f>B30*0.356</f>
        <v>24065.599999999999</v>
      </c>
      <c r="C31" s="3"/>
      <c r="D31" s="3"/>
      <c r="E31" s="3"/>
      <c r="F31" s="3"/>
      <c r="G31" s="3"/>
      <c r="H31" s="3"/>
    </row>
    <row r="32" spans="1:8" ht="15.6" x14ac:dyDescent="0.3">
      <c r="A32" s="3" t="s">
        <v>25</v>
      </c>
      <c r="B32" s="4">
        <f>G15</f>
        <v>10544.444444444445</v>
      </c>
      <c r="C32" s="3"/>
      <c r="D32" s="3"/>
      <c r="E32" s="3"/>
      <c r="F32" s="3"/>
      <c r="G32" s="3"/>
      <c r="H32" s="3"/>
    </row>
    <row r="33" spans="1:8" ht="15.6" x14ac:dyDescent="0.3">
      <c r="A33" s="3" t="s">
        <v>26</v>
      </c>
      <c r="B33" s="4">
        <f>B22+B24</f>
        <v>19000</v>
      </c>
      <c r="C33" s="3"/>
      <c r="D33" s="3"/>
      <c r="E33" s="3"/>
      <c r="F33" s="3"/>
      <c r="G33" s="3"/>
      <c r="H33" s="3"/>
    </row>
    <row r="34" spans="1:8" ht="15.6" x14ac:dyDescent="0.3">
      <c r="A34" s="3" t="s">
        <v>27</v>
      </c>
      <c r="B34" s="4">
        <f>SUM(B29:B33)</f>
        <v>176490.04444444444</v>
      </c>
      <c r="C34" s="3"/>
      <c r="D34" s="3"/>
      <c r="E34" s="3"/>
      <c r="F34" s="3"/>
      <c r="G34" s="3"/>
      <c r="H34" s="3"/>
    </row>
    <row r="35" spans="1:8" ht="15.6" x14ac:dyDescent="0.3">
      <c r="A35" s="3" t="s">
        <v>54</v>
      </c>
      <c r="B35" s="4">
        <f>B32+B33+B31</f>
        <v>53610.044444444444</v>
      </c>
      <c r="C35" s="3"/>
      <c r="D35" s="3"/>
      <c r="E35" s="3"/>
      <c r="F35" s="3"/>
      <c r="G35" s="3"/>
      <c r="H35" s="3"/>
    </row>
    <row r="36" spans="1:8" ht="15.6" x14ac:dyDescent="0.3">
      <c r="A36" s="3" t="s">
        <v>55</v>
      </c>
      <c r="B36" s="4">
        <f>B29+B30</f>
        <v>122880</v>
      </c>
      <c r="C36" s="3"/>
      <c r="D36" s="3"/>
      <c r="E36" s="3"/>
      <c r="F36" s="3"/>
      <c r="G36" s="3"/>
      <c r="H36" s="3"/>
    </row>
    <row r="37" spans="1:8" ht="15.6" x14ac:dyDescent="0.3">
      <c r="A37" s="3"/>
      <c r="B37" s="4"/>
      <c r="C37" s="3"/>
      <c r="D37" s="3"/>
      <c r="E37" s="3"/>
      <c r="F37" s="3"/>
      <c r="G37" s="3"/>
      <c r="H37" s="3"/>
    </row>
    <row r="38" spans="1:8" ht="15.6" x14ac:dyDescent="0.3">
      <c r="A38" s="3" t="s">
        <v>38</v>
      </c>
      <c r="B38" s="4">
        <f>B34/B26</f>
        <v>17.371067366579176</v>
      </c>
      <c r="C38" s="4">
        <f>C30+C29+((B31+B32+B33)/B26)</f>
        <v>17.371067366579176</v>
      </c>
    </row>
    <row r="39" spans="1:8" ht="15.6" x14ac:dyDescent="0.3">
      <c r="A39" s="3" t="s">
        <v>40</v>
      </c>
      <c r="B39" s="24">
        <v>0.1</v>
      </c>
    </row>
    <row r="40" spans="1:8" ht="15.6" x14ac:dyDescent="0.3">
      <c r="A40" s="3" t="s">
        <v>39</v>
      </c>
      <c r="B40" s="4">
        <f>B38*(1+B39)</f>
        <v>19.108174103237094</v>
      </c>
    </row>
  </sheetData>
  <mergeCells count="1">
    <mergeCell ref="F11:G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448459-6B60-40C2-A3A6-E3C9B3B0D6AB}">
  <dimension ref="A1:J12"/>
  <sheetViews>
    <sheetView workbookViewId="0">
      <selection activeCell="F4" sqref="F4:G4"/>
    </sheetView>
  </sheetViews>
  <sheetFormatPr defaultRowHeight="14.4" x14ac:dyDescent="0.3"/>
  <cols>
    <col min="1" max="1" width="8.5546875" customWidth="1"/>
    <col min="5" max="5" width="19.6640625" customWidth="1"/>
  </cols>
  <sheetData>
    <row r="1" spans="1:10" ht="15.6" x14ac:dyDescent="0.3">
      <c r="A1" s="29" t="s">
        <v>56</v>
      </c>
      <c r="B1" s="29"/>
      <c r="C1" s="29"/>
      <c r="D1" s="29"/>
      <c r="E1" s="29"/>
      <c r="F1" s="29"/>
      <c r="G1" s="29"/>
      <c r="H1" s="29"/>
      <c r="I1" s="29"/>
      <c r="J1" s="29"/>
    </row>
    <row r="3" spans="1:10" x14ac:dyDescent="0.3">
      <c r="A3" s="28" t="s">
        <v>41</v>
      </c>
      <c r="B3" s="28"/>
      <c r="C3" s="28"/>
      <c r="D3" s="28"/>
      <c r="E3" s="28"/>
      <c r="F3" s="27" t="s">
        <v>28</v>
      </c>
      <c r="G3" s="27"/>
    </row>
    <row r="4" spans="1:10" x14ac:dyDescent="0.3">
      <c r="A4" s="28" t="s">
        <v>42</v>
      </c>
      <c r="B4" s="28"/>
      <c r="C4" s="28"/>
      <c r="D4" s="28"/>
      <c r="E4" s="28"/>
      <c r="F4" s="26">
        <f>'Вводные данные'!B40*'Вводные данные'!B26</f>
        <v>194139.04888888888</v>
      </c>
      <c r="G4" s="27"/>
    </row>
    <row r="5" spans="1:10" x14ac:dyDescent="0.3">
      <c r="A5" s="28" t="s">
        <v>43</v>
      </c>
      <c r="B5" s="28"/>
      <c r="C5" s="28"/>
      <c r="D5" s="28"/>
      <c r="E5" s="28"/>
      <c r="F5" s="26">
        <f>'Вводные данные'!B34</f>
        <v>176490.04444444444</v>
      </c>
      <c r="G5" s="27"/>
    </row>
    <row r="6" spans="1:10" x14ac:dyDescent="0.3">
      <c r="A6" s="28" t="s">
        <v>44</v>
      </c>
      <c r="B6" s="28"/>
      <c r="C6" s="28"/>
      <c r="D6" s="28"/>
      <c r="E6" s="28"/>
      <c r="F6" s="26">
        <f>F4-F5</f>
        <v>17649.004444444436</v>
      </c>
      <c r="G6" s="27"/>
    </row>
    <row r="7" spans="1:10" x14ac:dyDescent="0.3">
      <c r="A7" s="28" t="s">
        <v>45</v>
      </c>
      <c r="B7" s="28"/>
      <c r="C7" s="28"/>
      <c r="D7" s="28"/>
      <c r="E7" s="28"/>
      <c r="F7" s="27">
        <v>0</v>
      </c>
      <c r="G7" s="27"/>
    </row>
    <row r="8" spans="1:10" x14ac:dyDescent="0.3">
      <c r="A8" s="28" t="s">
        <v>46</v>
      </c>
      <c r="B8" s="28"/>
      <c r="C8" s="28"/>
      <c r="D8" s="28"/>
      <c r="E8" s="28"/>
      <c r="F8" s="26">
        <f>F6-F7</f>
        <v>17649.004444444436</v>
      </c>
      <c r="G8" s="27"/>
    </row>
    <row r="9" spans="1:10" x14ac:dyDescent="0.3">
      <c r="A9" s="28" t="s">
        <v>47</v>
      </c>
      <c r="B9" s="28"/>
      <c r="C9" s="28"/>
      <c r="D9" s="28"/>
      <c r="E9" s="28"/>
      <c r="F9" s="27">
        <v>0</v>
      </c>
      <c r="G9" s="27"/>
    </row>
    <row r="10" spans="1:10" x14ac:dyDescent="0.3">
      <c r="A10" s="28" t="s">
        <v>48</v>
      </c>
      <c r="B10" s="28"/>
      <c r="C10" s="28"/>
      <c r="D10" s="28"/>
      <c r="E10" s="28"/>
      <c r="F10" s="26">
        <f>F8-F9</f>
        <v>17649.004444444436</v>
      </c>
      <c r="G10" s="27"/>
    </row>
    <row r="11" spans="1:10" x14ac:dyDescent="0.3">
      <c r="A11" s="28" t="s">
        <v>49</v>
      </c>
      <c r="B11" s="28"/>
      <c r="C11" s="28"/>
      <c r="D11" s="28"/>
      <c r="E11" s="28"/>
      <c r="F11" s="26">
        <f>F10*0.2</f>
        <v>3529.8008888888871</v>
      </c>
      <c r="G11" s="27"/>
    </row>
    <row r="12" spans="1:10" x14ac:dyDescent="0.3">
      <c r="A12" s="28" t="s">
        <v>50</v>
      </c>
      <c r="B12" s="28"/>
      <c r="C12" s="28"/>
      <c r="D12" s="28"/>
      <c r="E12" s="28"/>
      <c r="F12" s="26">
        <f>F10-F11</f>
        <v>14119.203555555549</v>
      </c>
      <c r="G12" s="27"/>
    </row>
  </sheetData>
  <mergeCells count="21">
    <mergeCell ref="A12:E12"/>
    <mergeCell ref="A1:J1"/>
    <mergeCell ref="A3:E3"/>
    <mergeCell ref="F3:G3"/>
    <mergeCell ref="A4:E4"/>
    <mergeCell ref="A5:E5"/>
    <mergeCell ref="A6:E6"/>
    <mergeCell ref="A7:E7"/>
    <mergeCell ref="A8:E8"/>
    <mergeCell ref="A9:E9"/>
    <mergeCell ref="A10:E10"/>
    <mergeCell ref="A11:E11"/>
    <mergeCell ref="F10:G10"/>
    <mergeCell ref="F11:G11"/>
    <mergeCell ref="F12:G12"/>
    <mergeCell ref="F4:G4"/>
    <mergeCell ref="F5:G5"/>
    <mergeCell ref="F6:G6"/>
    <mergeCell ref="F7:G7"/>
    <mergeCell ref="F8:G8"/>
    <mergeCell ref="F9:G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C4B31-1D9E-4783-929C-747D1324C862}">
  <dimension ref="A1:D7"/>
  <sheetViews>
    <sheetView workbookViewId="0">
      <selection activeCell="C44" sqref="C44"/>
    </sheetView>
  </sheetViews>
  <sheetFormatPr defaultRowHeight="14.4" x14ac:dyDescent="0.3"/>
  <cols>
    <col min="1" max="1" width="22" customWidth="1"/>
    <col min="2" max="2" width="11.44140625" customWidth="1"/>
    <col min="4" max="4" width="12.33203125" customWidth="1"/>
  </cols>
  <sheetData>
    <row r="1" spans="1:4" x14ac:dyDescent="0.3">
      <c r="A1" s="1" t="s">
        <v>51</v>
      </c>
      <c r="B1" s="27" t="s">
        <v>53</v>
      </c>
      <c r="C1" s="27"/>
      <c r="D1" s="27"/>
    </row>
    <row r="2" spans="1:4" x14ac:dyDescent="0.3">
      <c r="A2" s="1"/>
      <c r="B2" s="30">
        <f>('Вводные данные'!B31+'Вводные данные'!B32+'Вводные данные'!B33)/('Вводные данные'!B40-'Вводные данные'!C29-'Вводные данные'!C30)</f>
        <v>7643.6334760073523</v>
      </c>
      <c r="C2" s="30"/>
      <c r="D2" s="30"/>
    </row>
    <row r="6" spans="1:4" x14ac:dyDescent="0.3">
      <c r="A6" s="1" t="s">
        <v>57</v>
      </c>
      <c r="B6" s="2">
        <f>('Вводные данные'!B2+'Вводные данные'!B3+'Вводные данные'!B4)/'Отчет о прибылях и убытках'!F12</f>
        <v>26.5595717580293</v>
      </c>
    </row>
    <row r="7" spans="1:4" x14ac:dyDescent="0.3">
      <c r="A7" s="1" t="s">
        <v>58</v>
      </c>
      <c r="B7" s="2">
        <f>B6/12</f>
        <v>2.2132976465024417</v>
      </c>
    </row>
  </sheetData>
  <mergeCells count="2">
    <mergeCell ref="B1:D1"/>
    <mergeCell ref="B2:D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C0385-9322-41CD-A17C-9058418A3B89}">
  <dimension ref="A1:X30"/>
  <sheetViews>
    <sheetView tabSelected="1" workbookViewId="0">
      <selection activeCell="G38" sqref="G38"/>
    </sheetView>
  </sheetViews>
  <sheetFormatPr defaultRowHeight="14.4" x14ac:dyDescent="0.3"/>
  <cols>
    <col min="1" max="1" width="19.109375" customWidth="1"/>
    <col min="2" max="2" width="14.33203125" customWidth="1"/>
    <col min="5" max="5" width="14.33203125" customWidth="1"/>
    <col min="6" max="6" width="18.5546875" bestFit="1" customWidth="1"/>
    <col min="7" max="7" width="12.6640625" bestFit="1" customWidth="1"/>
    <col min="8" max="8" width="12.77734375" customWidth="1"/>
    <col min="9" max="9" width="12.6640625" bestFit="1" customWidth="1"/>
  </cols>
  <sheetData>
    <row r="1" spans="1:24" x14ac:dyDescent="0.3">
      <c r="A1" t="s">
        <v>101</v>
      </c>
      <c r="B1" s="51">
        <f>'Отчет о прибылях и убытках'!F4</f>
        <v>194139.04888888888</v>
      </c>
      <c r="E1" t="s">
        <v>105</v>
      </c>
      <c r="F1" t="s">
        <v>106</v>
      </c>
      <c r="G1" t="s">
        <v>107</v>
      </c>
      <c r="H1" t="s">
        <v>108</v>
      </c>
      <c r="I1" t="s">
        <v>101</v>
      </c>
    </row>
    <row r="2" spans="1:24" x14ac:dyDescent="0.3">
      <c r="A2" t="s">
        <v>102</v>
      </c>
      <c r="B2" s="51">
        <f>'Вводные данные'!B34</f>
        <v>176490.04444444444</v>
      </c>
      <c r="E2" s="50">
        <v>0</v>
      </c>
      <c r="F2" s="51">
        <f>B4</f>
        <v>53610.044444444444</v>
      </c>
      <c r="G2" s="51">
        <f>E2*12.09</f>
        <v>0</v>
      </c>
      <c r="H2" s="51">
        <f>F2+G2</f>
        <v>53610.044444444444</v>
      </c>
      <c r="I2" s="51">
        <f>E2*19.11</f>
        <v>0</v>
      </c>
    </row>
    <row r="3" spans="1:24" ht="14.4" customHeight="1" x14ac:dyDescent="0.3">
      <c r="A3" t="s">
        <v>103</v>
      </c>
      <c r="B3" s="51">
        <f>'Вводные данные'!B36</f>
        <v>122880</v>
      </c>
      <c r="E3" s="50">
        <v>500</v>
      </c>
      <c r="F3" s="51">
        <f>B4</f>
        <v>53610.044444444444</v>
      </c>
      <c r="G3" s="51">
        <f t="shared" ref="G3:G30" si="0">E3*12.09</f>
        <v>6045</v>
      </c>
      <c r="H3" s="51">
        <f t="shared" ref="H3:H30" si="1">F3+G3</f>
        <v>59655.044444444444</v>
      </c>
      <c r="I3" s="51">
        <f t="shared" ref="I3:I30" si="2">E3*19.11</f>
        <v>9555</v>
      </c>
      <c r="U3" s="35" t="s">
        <v>109</v>
      </c>
      <c r="V3" s="35"/>
      <c r="W3" s="35"/>
      <c r="X3" s="35"/>
    </row>
    <row r="4" spans="1:24" x14ac:dyDescent="0.3">
      <c r="A4" t="s">
        <v>104</v>
      </c>
      <c r="B4" s="51">
        <f>'Вводные данные'!B35</f>
        <v>53610.044444444444</v>
      </c>
      <c r="E4" s="50">
        <v>1000</v>
      </c>
      <c r="F4" s="51">
        <f>B4</f>
        <v>53610.044444444444</v>
      </c>
      <c r="G4" s="51">
        <f t="shared" si="0"/>
        <v>12090</v>
      </c>
      <c r="H4" s="51">
        <f t="shared" si="1"/>
        <v>65700.044444444444</v>
      </c>
      <c r="I4" s="51">
        <f t="shared" si="2"/>
        <v>19110</v>
      </c>
      <c r="U4" s="35"/>
      <c r="V4" s="35"/>
      <c r="W4" s="35"/>
      <c r="X4" s="35"/>
    </row>
    <row r="5" spans="1:24" x14ac:dyDescent="0.3">
      <c r="A5" t="s">
        <v>10</v>
      </c>
      <c r="B5" s="51">
        <f>'Вводные данные'!B40</f>
        <v>19.108174103237094</v>
      </c>
      <c r="E5" s="50">
        <v>1500</v>
      </c>
      <c r="F5" s="51">
        <f>B4</f>
        <v>53610.044444444444</v>
      </c>
      <c r="G5" s="51">
        <f t="shared" si="0"/>
        <v>18135</v>
      </c>
      <c r="H5" s="51">
        <f t="shared" si="1"/>
        <v>71745.044444444444</v>
      </c>
      <c r="I5" s="51">
        <f t="shared" si="2"/>
        <v>28665</v>
      </c>
      <c r="U5" s="35"/>
      <c r="V5" s="35"/>
      <c r="W5" s="35"/>
      <c r="X5" s="35"/>
    </row>
    <row r="6" spans="1:24" x14ac:dyDescent="0.3">
      <c r="E6" s="50">
        <v>2000</v>
      </c>
      <c r="F6" s="51">
        <f>B4</f>
        <v>53610.044444444444</v>
      </c>
      <c r="G6" s="51">
        <f t="shared" si="0"/>
        <v>24180</v>
      </c>
      <c r="H6" s="51">
        <f t="shared" si="1"/>
        <v>77790.044444444444</v>
      </c>
      <c r="I6" s="51">
        <f t="shared" si="2"/>
        <v>38220</v>
      </c>
      <c r="U6" s="35"/>
      <c r="V6" s="35"/>
      <c r="W6" s="35"/>
      <c r="X6" s="35"/>
    </row>
    <row r="7" spans="1:24" x14ac:dyDescent="0.3">
      <c r="E7" s="50">
        <v>2500</v>
      </c>
      <c r="F7" s="51">
        <f>B4</f>
        <v>53610.044444444444</v>
      </c>
      <c r="G7" s="51">
        <f t="shared" si="0"/>
        <v>30225</v>
      </c>
      <c r="H7" s="51">
        <f t="shared" si="1"/>
        <v>83835.044444444444</v>
      </c>
      <c r="I7" s="51">
        <f t="shared" si="2"/>
        <v>47775</v>
      </c>
      <c r="U7" s="35"/>
      <c r="V7" s="35"/>
      <c r="W7" s="35"/>
      <c r="X7" s="35"/>
    </row>
    <row r="8" spans="1:24" x14ac:dyDescent="0.3">
      <c r="E8" s="50">
        <v>3000</v>
      </c>
      <c r="F8" s="51">
        <f>B4</f>
        <v>53610.044444444444</v>
      </c>
      <c r="G8" s="51">
        <f t="shared" si="0"/>
        <v>36270</v>
      </c>
      <c r="H8" s="51">
        <f t="shared" si="1"/>
        <v>89880.044444444444</v>
      </c>
      <c r="I8" s="51">
        <f t="shared" si="2"/>
        <v>57330</v>
      </c>
      <c r="U8" s="35"/>
      <c r="V8" s="35"/>
      <c r="W8" s="35"/>
      <c r="X8" s="35"/>
    </row>
    <row r="9" spans="1:24" x14ac:dyDescent="0.3">
      <c r="E9" s="50">
        <v>3500</v>
      </c>
      <c r="F9" s="51">
        <f>B4</f>
        <v>53610.044444444444</v>
      </c>
      <c r="G9" s="51">
        <f t="shared" si="0"/>
        <v>42315</v>
      </c>
      <c r="H9" s="51">
        <f t="shared" si="1"/>
        <v>95925.044444444444</v>
      </c>
      <c r="I9" s="51">
        <f t="shared" si="2"/>
        <v>66885</v>
      </c>
      <c r="U9" s="35"/>
      <c r="V9" s="35"/>
      <c r="W9" s="35"/>
      <c r="X9" s="35"/>
    </row>
    <row r="10" spans="1:24" x14ac:dyDescent="0.3">
      <c r="E10" s="50">
        <v>4000</v>
      </c>
      <c r="F10" s="51">
        <f>B4</f>
        <v>53610.044444444444</v>
      </c>
      <c r="G10" s="51">
        <f t="shared" si="0"/>
        <v>48360</v>
      </c>
      <c r="H10" s="51">
        <f t="shared" si="1"/>
        <v>101970.04444444444</v>
      </c>
      <c r="I10" s="51">
        <f t="shared" si="2"/>
        <v>76440</v>
      </c>
    </row>
    <row r="11" spans="1:24" x14ac:dyDescent="0.3">
      <c r="E11" s="50">
        <v>4500</v>
      </c>
      <c r="F11" s="51">
        <f>B4</f>
        <v>53610.044444444444</v>
      </c>
      <c r="G11" s="51">
        <f t="shared" si="0"/>
        <v>54405</v>
      </c>
      <c r="H11" s="51">
        <f t="shared" si="1"/>
        <v>108015.04444444444</v>
      </c>
      <c r="I11" s="51">
        <f t="shared" si="2"/>
        <v>85995</v>
      </c>
    </row>
    <row r="12" spans="1:24" x14ac:dyDescent="0.3">
      <c r="E12" s="50">
        <v>5000</v>
      </c>
      <c r="F12" s="51">
        <f>B4</f>
        <v>53610.044444444444</v>
      </c>
      <c r="G12" s="51">
        <f t="shared" si="0"/>
        <v>60450</v>
      </c>
      <c r="H12" s="51">
        <f t="shared" si="1"/>
        <v>114060.04444444444</v>
      </c>
      <c r="I12" s="51">
        <f t="shared" si="2"/>
        <v>95550</v>
      </c>
    </row>
    <row r="13" spans="1:24" x14ac:dyDescent="0.3">
      <c r="E13" s="50">
        <v>5500</v>
      </c>
      <c r="F13" s="51">
        <f>B4</f>
        <v>53610.044444444444</v>
      </c>
      <c r="G13" s="51">
        <f t="shared" si="0"/>
        <v>66495</v>
      </c>
      <c r="H13" s="51">
        <f t="shared" si="1"/>
        <v>120105.04444444444</v>
      </c>
      <c r="I13" s="51">
        <f t="shared" si="2"/>
        <v>105105</v>
      </c>
    </row>
    <row r="14" spans="1:24" x14ac:dyDescent="0.3">
      <c r="E14" s="50">
        <v>6000</v>
      </c>
      <c r="F14" s="51">
        <f>B4</f>
        <v>53610.044444444444</v>
      </c>
      <c r="G14" s="51">
        <f t="shared" si="0"/>
        <v>72540</v>
      </c>
      <c r="H14" s="51">
        <f t="shared" si="1"/>
        <v>126150.04444444444</v>
      </c>
      <c r="I14" s="51">
        <f t="shared" si="2"/>
        <v>114660</v>
      </c>
    </row>
    <row r="15" spans="1:24" x14ac:dyDescent="0.3">
      <c r="E15" s="50">
        <v>6500</v>
      </c>
      <c r="F15" s="51">
        <f>B4</f>
        <v>53610.044444444444</v>
      </c>
      <c r="G15" s="51">
        <f t="shared" si="0"/>
        <v>78585</v>
      </c>
      <c r="H15" s="51">
        <f t="shared" si="1"/>
        <v>132195.04444444444</v>
      </c>
      <c r="I15" s="51">
        <f t="shared" si="2"/>
        <v>124215</v>
      </c>
    </row>
    <row r="16" spans="1:24" x14ac:dyDescent="0.3">
      <c r="E16" s="50">
        <v>7500</v>
      </c>
      <c r="F16" s="51">
        <f>B4</f>
        <v>53610.044444444444</v>
      </c>
      <c r="G16" s="51">
        <f t="shared" si="0"/>
        <v>90675</v>
      </c>
      <c r="H16" s="51">
        <f t="shared" si="1"/>
        <v>144285.04444444444</v>
      </c>
      <c r="I16" s="51">
        <f t="shared" si="2"/>
        <v>143325</v>
      </c>
    </row>
    <row r="17" spans="5:9" x14ac:dyDescent="0.3">
      <c r="E17" s="50">
        <v>8000</v>
      </c>
      <c r="F17" s="51">
        <f>B4</f>
        <v>53610.044444444444</v>
      </c>
      <c r="G17" s="51">
        <f t="shared" si="0"/>
        <v>96720</v>
      </c>
      <c r="H17" s="51">
        <f t="shared" si="1"/>
        <v>150330.04444444444</v>
      </c>
      <c r="I17" s="51">
        <f t="shared" si="2"/>
        <v>152880</v>
      </c>
    </row>
    <row r="18" spans="5:9" x14ac:dyDescent="0.3">
      <c r="E18" s="50">
        <v>8500</v>
      </c>
      <c r="F18" s="51">
        <f>B4</f>
        <v>53610.044444444444</v>
      </c>
      <c r="G18" s="51">
        <f t="shared" si="0"/>
        <v>102765</v>
      </c>
      <c r="H18" s="51">
        <f t="shared" si="1"/>
        <v>156375.04444444444</v>
      </c>
      <c r="I18" s="51">
        <f t="shared" si="2"/>
        <v>162435</v>
      </c>
    </row>
    <row r="19" spans="5:9" x14ac:dyDescent="0.3">
      <c r="E19" s="50">
        <v>9000</v>
      </c>
      <c r="F19" s="51">
        <f>B4</f>
        <v>53610.044444444444</v>
      </c>
      <c r="G19" s="51">
        <f t="shared" si="0"/>
        <v>108810</v>
      </c>
      <c r="H19" s="51">
        <f t="shared" si="1"/>
        <v>162420.04444444444</v>
      </c>
      <c r="I19" s="51">
        <f t="shared" si="2"/>
        <v>171990</v>
      </c>
    </row>
    <row r="20" spans="5:9" x14ac:dyDescent="0.3">
      <c r="E20" s="50">
        <v>9500</v>
      </c>
      <c r="F20" s="51">
        <f>B4</f>
        <v>53610.044444444444</v>
      </c>
      <c r="G20" s="51">
        <f t="shared" si="0"/>
        <v>114855</v>
      </c>
      <c r="H20" s="51">
        <f t="shared" si="1"/>
        <v>168465.04444444444</v>
      </c>
      <c r="I20" s="51">
        <f t="shared" si="2"/>
        <v>181545</v>
      </c>
    </row>
    <row r="21" spans="5:9" x14ac:dyDescent="0.3">
      <c r="E21" s="50">
        <v>10000</v>
      </c>
      <c r="F21" s="51">
        <f>B4</f>
        <v>53610.044444444444</v>
      </c>
      <c r="G21" s="51">
        <f t="shared" si="0"/>
        <v>120900</v>
      </c>
      <c r="H21" s="51">
        <f t="shared" si="1"/>
        <v>174510.04444444444</v>
      </c>
      <c r="I21" s="51">
        <f t="shared" si="2"/>
        <v>191100</v>
      </c>
    </row>
    <row r="22" spans="5:9" x14ac:dyDescent="0.3">
      <c r="E22" s="50">
        <v>10500</v>
      </c>
      <c r="F22" s="51">
        <f>B4</f>
        <v>53610.044444444444</v>
      </c>
      <c r="G22" s="51">
        <f t="shared" si="0"/>
        <v>126945</v>
      </c>
      <c r="H22" s="51">
        <f t="shared" si="1"/>
        <v>180555.04444444444</v>
      </c>
      <c r="I22" s="51">
        <f t="shared" si="2"/>
        <v>200655</v>
      </c>
    </row>
    <row r="23" spans="5:9" x14ac:dyDescent="0.3">
      <c r="E23" s="50">
        <v>11000</v>
      </c>
      <c r="F23" s="51">
        <f>B4</f>
        <v>53610.044444444444</v>
      </c>
      <c r="G23" s="51">
        <f t="shared" si="0"/>
        <v>132990</v>
      </c>
      <c r="H23" s="51">
        <f t="shared" si="1"/>
        <v>186600.04444444444</v>
      </c>
      <c r="I23" s="51">
        <f t="shared" si="2"/>
        <v>210210</v>
      </c>
    </row>
    <row r="24" spans="5:9" x14ac:dyDescent="0.3">
      <c r="E24" s="50">
        <v>12000</v>
      </c>
      <c r="F24" s="51">
        <f>B4</f>
        <v>53610.044444444444</v>
      </c>
      <c r="G24" s="51">
        <f t="shared" si="0"/>
        <v>145080</v>
      </c>
      <c r="H24" s="51">
        <f t="shared" si="1"/>
        <v>198690.04444444444</v>
      </c>
      <c r="I24" s="51">
        <f t="shared" si="2"/>
        <v>229320</v>
      </c>
    </row>
    <row r="25" spans="5:9" x14ac:dyDescent="0.3">
      <c r="E25" s="50">
        <v>12500</v>
      </c>
      <c r="F25" s="51">
        <f>B4</f>
        <v>53610.044444444444</v>
      </c>
      <c r="G25" s="51">
        <f t="shared" si="0"/>
        <v>151125</v>
      </c>
      <c r="H25" s="51">
        <f t="shared" si="1"/>
        <v>204735.04444444444</v>
      </c>
      <c r="I25" s="51">
        <f t="shared" si="2"/>
        <v>238875</v>
      </c>
    </row>
    <row r="26" spans="5:9" x14ac:dyDescent="0.3">
      <c r="E26" s="50">
        <v>13000</v>
      </c>
      <c r="F26" s="51">
        <f>B4</f>
        <v>53610.044444444444</v>
      </c>
      <c r="G26" s="51">
        <f t="shared" si="0"/>
        <v>157170</v>
      </c>
      <c r="H26" s="51">
        <f t="shared" si="1"/>
        <v>210780.04444444444</v>
      </c>
      <c r="I26" s="51">
        <f t="shared" si="2"/>
        <v>248430</v>
      </c>
    </row>
    <row r="27" spans="5:9" x14ac:dyDescent="0.3">
      <c r="E27" s="50">
        <v>13500</v>
      </c>
      <c r="F27" s="51">
        <f>B4</f>
        <v>53610.044444444444</v>
      </c>
      <c r="G27" s="51">
        <f t="shared" si="0"/>
        <v>163215</v>
      </c>
      <c r="H27" s="51">
        <f t="shared" si="1"/>
        <v>216825.04444444444</v>
      </c>
      <c r="I27" s="51">
        <f t="shared" si="2"/>
        <v>257985</v>
      </c>
    </row>
    <row r="28" spans="5:9" x14ac:dyDescent="0.3">
      <c r="E28" s="50">
        <v>14000</v>
      </c>
      <c r="F28" s="51">
        <f>B4</f>
        <v>53610.044444444444</v>
      </c>
      <c r="G28" s="51">
        <f t="shared" si="0"/>
        <v>169260</v>
      </c>
      <c r="H28" s="51">
        <f t="shared" si="1"/>
        <v>222870.04444444444</v>
      </c>
      <c r="I28" s="51">
        <f t="shared" si="2"/>
        <v>267540</v>
      </c>
    </row>
    <row r="29" spans="5:9" x14ac:dyDescent="0.3">
      <c r="E29" s="50">
        <v>14500</v>
      </c>
      <c r="F29" s="51">
        <f>B4</f>
        <v>53610.044444444444</v>
      </c>
      <c r="G29" s="51">
        <f t="shared" si="0"/>
        <v>175305</v>
      </c>
      <c r="H29" s="51">
        <f t="shared" si="1"/>
        <v>228915.04444444444</v>
      </c>
      <c r="I29" s="51">
        <f t="shared" si="2"/>
        <v>277095</v>
      </c>
    </row>
    <row r="30" spans="5:9" x14ac:dyDescent="0.3">
      <c r="E30" s="50">
        <v>15000</v>
      </c>
      <c r="F30" s="51">
        <f>B4</f>
        <v>53610.044444444444</v>
      </c>
      <c r="G30" s="51">
        <f t="shared" si="0"/>
        <v>181350</v>
      </c>
      <c r="H30" s="51">
        <f t="shared" si="1"/>
        <v>234960.04444444444</v>
      </c>
      <c r="I30" s="51">
        <f t="shared" si="2"/>
        <v>286650</v>
      </c>
    </row>
  </sheetData>
  <mergeCells count="1">
    <mergeCell ref="U3:X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5B216-4482-4D3C-A346-49A24A338E65}">
  <dimension ref="A1:T40"/>
  <sheetViews>
    <sheetView topLeftCell="A19" workbookViewId="0">
      <selection activeCell="N35" sqref="N35"/>
    </sheetView>
  </sheetViews>
  <sheetFormatPr defaultRowHeight="14.4" x14ac:dyDescent="0.3"/>
  <cols>
    <col min="1" max="1" width="13.5546875" customWidth="1"/>
    <col min="2" max="2" width="12.88671875" customWidth="1"/>
    <col min="13" max="13" width="40.5546875" customWidth="1"/>
    <col min="14" max="14" width="15.21875" customWidth="1"/>
    <col min="18" max="18" width="22.109375" customWidth="1"/>
    <col min="19" max="19" width="16" customWidth="1"/>
  </cols>
  <sheetData>
    <row r="1" spans="1:20" ht="15.6" x14ac:dyDescent="0.3">
      <c r="A1" t="s">
        <v>59</v>
      </c>
      <c r="E1">
        <v>50000</v>
      </c>
      <c r="M1" s="5" t="s">
        <v>0</v>
      </c>
      <c r="N1" s="18" t="s">
        <v>8</v>
      </c>
      <c r="O1" s="3"/>
      <c r="P1" s="3"/>
      <c r="Q1" s="3"/>
      <c r="R1" s="5" t="s">
        <v>15</v>
      </c>
      <c r="S1" s="5" t="s">
        <v>20</v>
      </c>
      <c r="T1" s="5" t="s">
        <v>16</v>
      </c>
    </row>
    <row r="2" spans="1:20" ht="15.6" x14ac:dyDescent="0.3">
      <c r="A2" t="s">
        <v>60</v>
      </c>
      <c r="M2" s="5" t="s">
        <v>1</v>
      </c>
      <c r="N2" s="7">
        <v>136000</v>
      </c>
      <c r="O2" s="3"/>
      <c r="P2" s="3"/>
      <c r="Q2" s="3"/>
      <c r="R2" s="18">
        <f>20</f>
        <v>20</v>
      </c>
      <c r="S2" s="18">
        <v>5200</v>
      </c>
      <c r="T2" s="18">
        <f>5*8*4</f>
        <v>160</v>
      </c>
    </row>
    <row r="3" spans="1:20" ht="15.6" x14ac:dyDescent="0.3">
      <c r="A3" s="28" t="s">
        <v>41</v>
      </c>
      <c r="B3" s="28"/>
      <c r="C3" s="28"/>
      <c r="D3" s="28"/>
      <c r="E3" s="28"/>
      <c r="F3" s="27" t="s">
        <v>28</v>
      </c>
      <c r="G3" s="27"/>
      <c r="M3" s="5" t="s">
        <v>2</v>
      </c>
      <c r="N3" s="7">
        <v>121000</v>
      </c>
      <c r="O3" s="3"/>
      <c r="P3" s="3"/>
      <c r="Q3" s="3"/>
      <c r="R3" s="3"/>
      <c r="S3" s="3"/>
      <c r="T3" s="3"/>
    </row>
    <row r="4" spans="1:20" ht="15.6" x14ac:dyDescent="0.3">
      <c r="A4" s="28" t="s">
        <v>42</v>
      </c>
      <c r="B4" s="28"/>
      <c r="C4" s="28"/>
      <c r="D4" s="28"/>
      <c r="E4" s="28"/>
      <c r="F4" s="26">
        <f>N40*N26</f>
        <v>315963.55555555556</v>
      </c>
      <c r="G4" s="27"/>
      <c r="M4" s="5" t="s">
        <v>3</v>
      </c>
      <c r="N4" s="7">
        <v>118000</v>
      </c>
      <c r="O4" s="3"/>
      <c r="P4" s="3"/>
      <c r="Q4" s="3"/>
      <c r="R4" s="3"/>
      <c r="S4" s="3"/>
      <c r="T4" s="3"/>
    </row>
    <row r="5" spans="1:20" ht="15.6" x14ac:dyDescent="0.3">
      <c r="A5" s="28" t="s">
        <v>43</v>
      </c>
      <c r="B5" s="28"/>
      <c r="C5" s="28"/>
      <c r="D5" s="28"/>
      <c r="E5" s="28"/>
      <c r="F5" s="26">
        <f>N34</f>
        <v>252770.84444444443</v>
      </c>
      <c r="G5" s="27"/>
      <c r="M5" s="3"/>
      <c r="N5" s="8"/>
      <c r="O5" s="3"/>
      <c r="P5" s="3"/>
      <c r="Q5" s="3"/>
      <c r="R5" s="3"/>
      <c r="S5" s="3"/>
      <c r="T5" s="3"/>
    </row>
    <row r="6" spans="1:20" ht="15.6" x14ac:dyDescent="0.3">
      <c r="A6" s="28" t="s">
        <v>44</v>
      </c>
      <c r="B6" s="28"/>
      <c r="C6" s="28"/>
      <c r="D6" s="28"/>
      <c r="E6" s="28"/>
      <c r="F6" s="26">
        <f>F4-F5</f>
        <v>63192.71111111113</v>
      </c>
      <c r="G6" s="27"/>
      <c r="M6" s="5" t="s">
        <v>4</v>
      </c>
      <c r="N6" s="18" t="s">
        <v>6</v>
      </c>
      <c r="O6" s="3"/>
      <c r="P6" s="3"/>
      <c r="Q6" s="3"/>
      <c r="R6" s="3"/>
      <c r="S6" s="3"/>
      <c r="T6" s="3"/>
    </row>
    <row r="7" spans="1:20" ht="15.6" x14ac:dyDescent="0.3">
      <c r="A7" s="28" t="s">
        <v>45</v>
      </c>
      <c r="B7" s="28"/>
      <c r="C7" s="28"/>
      <c r="D7" s="28"/>
      <c r="E7" s="28"/>
      <c r="F7" s="27">
        <v>0</v>
      </c>
      <c r="G7" s="27"/>
      <c r="M7" s="5" t="s">
        <v>1</v>
      </c>
      <c r="N7" s="9">
        <v>5</v>
      </c>
      <c r="O7" s="3"/>
      <c r="P7" s="3"/>
      <c r="Q7" s="3"/>
      <c r="R7" s="5" t="s">
        <v>30</v>
      </c>
      <c r="S7" s="5"/>
      <c r="T7" s="3"/>
    </row>
    <row r="8" spans="1:20" ht="15.6" x14ac:dyDescent="0.3">
      <c r="A8" s="28" t="s">
        <v>46</v>
      </c>
      <c r="B8" s="28"/>
      <c r="C8" s="28"/>
      <c r="D8" s="28"/>
      <c r="E8" s="28"/>
      <c r="F8" s="26">
        <f>F6-F7</f>
        <v>63192.71111111113</v>
      </c>
      <c r="G8" s="27"/>
      <c r="M8" s="5" t="s">
        <v>2</v>
      </c>
      <c r="N8" s="9">
        <v>3</v>
      </c>
      <c r="O8" s="3"/>
      <c r="P8" s="3"/>
      <c r="Q8" s="3"/>
      <c r="R8" s="5" t="s">
        <v>31</v>
      </c>
      <c r="S8" s="19">
        <f>(P17+P18+P19)*N26</f>
        <v>78333.599999999991</v>
      </c>
      <c r="T8" s="3"/>
    </row>
    <row r="9" spans="1:20" ht="15.6" x14ac:dyDescent="0.3">
      <c r="A9" s="28" t="s">
        <v>47</v>
      </c>
      <c r="B9" s="28"/>
      <c r="C9" s="28"/>
      <c r="D9" s="28"/>
      <c r="E9" s="28"/>
      <c r="F9" s="27">
        <v>0</v>
      </c>
      <c r="G9" s="27"/>
      <c r="M9" s="5" t="s">
        <v>3</v>
      </c>
      <c r="N9" s="9">
        <v>2</v>
      </c>
      <c r="O9" s="3"/>
      <c r="P9" s="3"/>
      <c r="Q9" s="3"/>
      <c r="R9" s="5" t="s">
        <v>34</v>
      </c>
      <c r="S9" s="17">
        <f>(N12*O12+N13*O13+N14*O14)*160*N23</f>
        <v>3868.8</v>
      </c>
      <c r="T9" s="3"/>
    </row>
    <row r="10" spans="1:20" ht="15.6" x14ac:dyDescent="0.3">
      <c r="A10" s="28" t="s">
        <v>48</v>
      </c>
      <c r="B10" s="28"/>
      <c r="C10" s="28"/>
      <c r="D10" s="28"/>
      <c r="E10" s="28"/>
      <c r="F10" s="26">
        <f>F8-F9</f>
        <v>63192.71111111113</v>
      </c>
      <c r="G10" s="27"/>
      <c r="M10" s="3"/>
      <c r="N10" s="10"/>
      <c r="O10" s="3"/>
      <c r="P10" s="3"/>
      <c r="Q10" s="3"/>
      <c r="R10" s="5" t="s">
        <v>35</v>
      </c>
      <c r="S10" s="20">
        <f>S8+S9</f>
        <v>82202.399999999994</v>
      </c>
      <c r="T10" s="3"/>
    </row>
    <row r="11" spans="1:20" ht="78" x14ac:dyDescent="0.3">
      <c r="A11" s="28" t="s">
        <v>49</v>
      </c>
      <c r="B11" s="28"/>
      <c r="C11" s="28"/>
      <c r="D11" s="28"/>
      <c r="E11" s="28"/>
      <c r="F11" s="26">
        <f>F10*0.2</f>
        <v>12638.542222222226</v>
      </c>
      <c r="G11" s="27"/>
      <c r="M11" s="5" t="s">
        <v>5</v>
      </c>
      <c r="N11" s="11" t="s">
        <v>7</v>
      </c>
      <c r="O11" s="22" t="s">
        <v>36</v>
      </c>
      <c r="P11" s="3"/>
      <c r="Q11" s="3"/>
      <c r="R11" s="25" t="s">
        <v>37</v>
      </c>
      <c r="S11" s="25"/>
      <c r="T11" s="3"/>
    </row>
    <row r="12" spans="1:20" ht="15.6" x14ac:dyDescent="0.3">
      <c r="A12" s="28" t="s">
        <v>50</v>
      </c>
      <c r="B12" s="28"/>
      <c r="C12" s="28"/>
      <c r="D12" s="28"/>
      <c r="E12" s="28"/>
      <c r="F12" s="26">
        <f>F10-F11</f>
        <v>50554.168888888904</v>
      </c>
      <c r="G12" s="27"/>
      <c r="M12" s="5" t="s">
        <v>1</v>
      </c>
      <c r="N12" s="9">
        <v>20</v>
      </c>
      <c r="O12" s="23">
        <v>1</v>
      </c>
      <c r="P12" s="3"/>
      <c r="Q12" s="3"/>
      <c r="R12" s="5" t="s">
        <v>1</v>
      </c>
      <c r="S12" s="7">
        <f>N2/60</f>
        <v>2266.6666666666665</v>
      </c>
      <c r="T12" s="3"/>
    </row>
    <row r="13" spans="1:20" ht="15.6" x14ac:dyDescent="0.3">
      <c r="M13" s="5" t="s">
        <v>2</v>
      </c>
      <c r="N13" s="9">
        <v>10</v>
      </c>
      <c r="O13" s="23">
        <v>1</v>
      </c>
      <c r="P13" s="3"/>
      <c r="Q13" s="3"/>
      <c r="R13" s="5" t="s">
        <v>2</v>
      </c>
      <c r="S13" s="7">
        <f>N3/36</f>
        <v>3361.1111111111113</v>
      </c>
      <c r="T13" s="3"/>
    </row>
    <row r="14" spans="1:20" ht="15.6" x14ac:dyDescent="0.3">
      <c r="A14" s="33" t="s">
        <v>62</v>
      </c>
      <c r="B14" s="33"/>
      <c r="C14" s="33"/>
      <c r="D14" s="33"/>
      <c r="E14" s="33"/>
      <c r="F14" s="33"/>
      <c r="G14" s="33"/>
      <c r="M14" s="5" t="s">
        <v>3</v>
      </c>
      <c r="N14" s="9">
        <v>1</v>
      </c>
      <c r="O14" s="23">
        <v>1</v>
      </c>
      <c r="P14" s="3"/>
      <c r="Q14" s="3"/>
      <c r="R14" s="5" t="s">
        <v>3</v>
      </c>
      <c r="S14" s="7">
        <f>N4/24</f>
        <v>4916.666666666667</v>
      </c>
      <c r="T14" s="3"/>
    </row>
    <row r="15" spans="1:20" ht="47.4" customHeight="1" x14ac:dyDescent="0.3">
      <c r="A15" s="34" t="s">
        <v>63</v>
      </c>
      <c r="B15" s="34"/>
      <c r="C15" s="34"/>
      <c r="D15" s="34"/>
      <c r="E15" s="34"/>
      <c r="F15" s="34"/>
      <c r="G15" s="34"/>
      <c r="H15" s="34"/>
      <c r="M15" s="3"/>
      <c r="N15" s="3"/>
      <c r="O15" s="3"/>
      <c r="P15" s="3"/>
      <c r="Q15" s="3"/>
      <c r="R15" s="5" t="s">
        <v>35</v>
      </c>
      <c r="S15" s="7">
        <f>SUM(S12:S14)</f>
        <v>10544.444444444445</v>
      </c>
      <c r="T15" s="3"/>
    </row>
    <row r="16" spans="1:20" ht="46.8" x14ac:dyDescent="0.3">
      <c r="A16" s="35" t="s">
        <v>64</v>
      </c>
      <c r="B16" s="35"/>
      <c r="C16" s="35"/>
      <c r="D16" s="35"/>
      <c r="E16" s="35"/>
      <c r="F16" s="35"/>
      <c r="G16" s="35"/>
      <c r="H16" s="35"/>
      <c r="M16" s="12" t="s">
        <v>9</v>
      </c>
      <c r="N16" s="13" t="s">
        <v>14</v>
      </c>
      <c r="O16" s="5" t="s">
        <v>10</v>
      </c>
      <c r="P16" s="5" t="s">
        <v>32</v>
      </c>
      <c r="Q16" s="3"/>
      <c r="R16" s="3"/>
      <c r="S16" s="3"/>
      <c r="T16" s="3"/>
    </row>
    <row r="17" spans="1:20" ht="31.8" customHeight="1" x14ac:dyDescent="0.3">
      <c r="A17" s="34" t="s">
        <v>65</v>
      </c>
      <c r="B17" s="34"/>
      <c r="C17" s="34"/>
      <c r="D17" s="34"/>
      <c r="E17" s="34"/>
      <c r="F17" s="34"/>
      <c r="G17" s="34"/>
      <c r="H17" s="34"/>
      <c r="M17" s="12" t="s">
        <v>11</v>
      </c>
      <c r="N17" s="14">
        <v>0.6</v>
      </c>
      <c r="O17" s="15">
        <v>6.4</v>
      </c>
      <c r="P17" s="21">
        <f>N17*O17</f>
        <v>3.84</v>
      </c>
      <c r="Q17" s="3"/>
      <c r="R17" s="3"/>
      <c r="S17" s="3"/>
      <c r="T17" s="3"/>
    </row>
    <row r="18" spans="1:20" ht="33" customHeight="1" x14ac:dyDescent="0.3">
      <c r="A18" s="34"/>
      <c r="B18" s="34"/>
      <c r="C18" s="34"/>
      <c r="D18" s="34"/>
      <c r="E18" s="34"/>
      <c r="F18" s="34"/>
      <c r="G18" s="34"/>
      <c r="H18" s="34"/>
      <c r="M18" s="12" t="s">
        <v>12</v>
      </c>
      <c r="N18" s="16">
        <v>0.05</v>
      </c>
      <c r="O18" s="15">
        <v>14</v>
      </c>
      <c r="P18" s="21">
        <f t="shared" ref="P18:P19" si="0">N18*O18</f>
        <v>0.70000000000000007</v>
      </c>
      <c r="Q18" s="3"/>
      <c r="R18" s="3"/>
      <c r="S18" s="3"/>
      <c r="T18" s="3"/>
    </row>
    <row r="19" spans="1:20" ht="15.6" x14ac:dyDescent="0.3">
      <c r="A19" s="34" t="s">
        <v>66</v>
      </c>
      <c r="B19" s="34"/>
      <c r="C19" s="34"/>
      <c r="D19" s="34"/>
      <c r="E19" s="34"/>
      <c r="F19" s="34"/>
      <c r="G19" s="34"/>
      <c r="H19" s="34"/>
      <c r="M19" s="12" t="s">
        <v>13</v>
      </c>
      <c r="N19" s="16">
        <v>0.01</v>
      </c>
      <c r="O19" s="15">
        <v>60</v>
      </c>
      <c r="P19" s="21">
        <f t="shared" si="0"/>
        <v>0.6</v>
      </c>
      <c r="Q19" s="3"/>
      <c r="R19" s="3"/>
      <c r="S19" s="3"/>
      <c r="T19" s="3"/>
    </row>
    <row r="20" spans="1:20" ht="28.2" customHeight="1" x14ac:dyDescent="0.3">
      <c r="A20" s="34"/>
      <c r="B20" s="34"/>
      <c r="C20" s="34"/>
      <c r="D20" s="34"/>
      <c r="E20" s="34"/>
      <c r="F20" s="34"/>
      <c r="G20" s="34"/>
      <c r="H20" s="34"/>
      <c r="M20" s="3"/>
      <c r="N20" s="3"/>
      <c r="O20" s="3"/>
      <c r="P20" s="3"/>
      <c r="Q20" s="3"/>
      <c r="R20" s="3"/>
      <c r="S20" s="3"/>
      <c r="T20" s="3"/>
    </row>
    <row r="21" spans="1:20" ht="15.6" x14ac:dyDescent="0.3">
      <c r="M21" s="3"/>
      <c r="N21" s="3"/>
      <c r="O21" s="3"/>
      <c r="P21" s="3"/>
      <c r="Q21" s="3"/>
      <c r="R21" s="3"/>
      <c r="S21" s="3"/>
      <c r="T21" s="3"/>
    </row>
    <row r="22" spans="1:20" ht="15.6" x14ac:dyDescent="0.3">
      <c r="M22" s="12" t="s">
        <v>17</v>
      </c>
      <c r="N22" s="17">
        <v>9000</v>
      </c>
      <c r="O22" s="3"/>
      <c r="P22" s="3"/>
      <c r="Q22" s="3"/>
      <c r="R22" s="3"/>
      <c r="S22" s="3"/>
      <c r="T22" s="3"/>
    </row>
    <row r="23" spans="1:20" ht="15.6" x14ac:dyDescent="0.3">
      <c r="A23" s="1" t="s">
        <v>89</v>
      </c>
      <c r="B23" s="27" t="s">
        <v>53</v>
      </c>
      <c r="C23" s="27"/>
      <c r="D23" s="27"/>
      <c r="M23" s="12" t="s">
        <v>18</v>
      </c>
      <c r="N23" s="17">
        <v>0.78</v>
      </c>
      <c r="O23" s="3"/>
      <c r="P23" s="3"/>
      <c r="Q23" s="3"/>
      <c r="R23" s="3"/>
      <c r="S23" s="3"/>
      <c r="T23" s="3"/>
    </row>
    <row r="24" spans="1:20" ht="15.6" x14ac:dyDescent="0.3">
      <c r="A24" s="1"/>
      <c r="B24" s="30">
        <f>(N31+N32+N33)/(N40-O30-O29)</f>
        <v>7818.2341162874964</v>
      </c>
      <c r="C24" s="30"/>
      <c r="D24" s="30"/>
      <c r="M24" s="12" t="s">
        <v>29</v>
      </c>
      <c r="N24" s="17">
        <v>10000</v>
      </c>
      <c r="O24" s="3"/>
      <c r="P24" s="3"/>
      <c r="Q24" s="3"/>
      <c r="R24" s="3"/>
      <c r="S24" s="3"/>
      <c r="T24" s="3"/>
    </row>
    <row r="25" spans="1:20" ht="15.6" x14ac:dyDescent="0.3">
      <c r="M25" s="12" t="s">
        <v>19</v>
      </c>
      <c r="N25" s="9">
        <f>508*1.5</f>
        <v>762</v>
      </c>
      <c r="O25" s="3"/>
      <c r="P25" s="3"/>
      <c r="Q25" s="3"/>
      <c r="R25" s="3"/>
      <c r="S25" s="3"/>
      <c r="T25" s="3"/>
    </row>
    <row r="26" spans="1:20" ht="15.6" x14ac:dyDescent="0.3">
      <c r="M26" s="12" t="s">
        <v>33</v>
      </c>
      <c r="N26" s="5">
        <f>N25*20</f>
        <v>15240</v>
      </c>
      <c r="O26" s="3"/>
      <c r="P26" s="3"/>
      <c r="Q26" s="3"/>
      <c r="R26" s="3"/>
      <c r="S26" s="3"/>
      <c r="T26" s="3"/>
    </row>
    <row r="27" spans="1:20" ht="15.6" x14ac:dyDescent="0.3">
      <c r="M27" s="3"/>
      <c r="N27" s="3"/>
      <c r="O27" s="3"/>
      <c r="P27" s="3"/>
      <c r="Q27" s="3"/>
      <c r="R27" s="3"/>
      <c r="S27" s="3"/>
      <c r="T27" s="3"/>
    </row>
    <row r="28" spans="1:20" ht="46.2" customHeight="1" x14ac:dyDescent="0.3">
      <c r="A28" s="47" t="s">
        <v>57</v>
      </c>
      <c r="B28" s="2">
        <f>12+(375000-205569.6)/F12</f>
        <v>15.351462475278442</v>
      </c>
      <c r="M28" s="3" t="s">
        <v>21</v>
      </c>
      <c r="N28" s="3" t="s">
        <v>28</v>
      </c>
      <c r="O28" s="3" t="s">
        <v>52</v>
      </c>
      <c r="P28" s="3"/>
      <c r="Q28" s="3"/>
      <c r="R28" s="3"/>
      <c r="S28" s="3"/>
      <c r="T28" s="3"/>
    </row>
    <row r="29" spans="1:20" ht="15.6" x14ac:dyDescent="0.3">
      <c r="A29" s="1" t="s">
        <v>58</v>
      </c>
      <c r="B29" s="2">
        <f>B28/12</f>
        <v>1.2792885396065368</v>
      </c>
      <c r="M29" s="3" t="s">
        <v>22</v>
      </c>
      <c r="N29" s="4">
        <f>S10</f>
        <v>82202.399999999994</v>
      </c>
      <c r="O29" s="4">
        <f>N29/N26</f>
        <v>5.393858267716535</v>
      </c>
      <c r="P29" s="3"/>
      <c r="Q29" s="3"/>
      <c r="R29" s="3"/>
      <c r="S29" s="3"/>
      <c r="T29" s="3"/>
    </row>
    <row r="30" spans="1:20" ht="15.6" x14ac:dyDescent="0.3">
      <c r="M30" s="3" t="s">
        <v>23</v>
      </c>
      <c r="N30" s="4">
        <f>S2*R2</f>
        <v>104000</v>
      </c>
      <c r="O30" s="4">
        <f>N30/N26</f>
        <v>6.8241469816272966</v>
      </c>
      <c r="P30" s="3"/>
      <c r="Q30" s="3"/>
      <c r="R30" s="3"/>
      <c r="S30" s="3"/>
      <c r="T30" s="3"/>
    </row>
    <row r="31" spans="1:20" ht="15.6" x14ac:dyDescent="0.3">
      <c r="M31" s="3" t="s">
        <v>24</v>
      </c>
      <c r="N31" s="4">
        <f>N30*0.356</f>
        <v>37024</v>
      </c>
      <c r="O31" s="3"/>
      <c r="P31" s="3"/>
      <c r="Q31" s="3"/>
      <c r="R31" s="3"/>
      <c r="S31" s="3"/>
      <c r="T31" s="3"/>
    </row>
    <row r="32" spans="1:20" ht="15.6" x14ac:dyDescent="0.3">
      <c r="M32" s="3" t="s">
        <v>25</v>
      </c>
      <c r="N32" s="4">
        <f>S15</f>
        <v>10544.444444444445</v>
      </c>
      <c r="O32" s="3"/>
      <c r="P32" s="3"/>
      <c r="Q32" s="3"/>
      <c r="R32" s="3"/>
      <c r="S32" s="3"/>
      <c r="T32" s="3"/>
    </row>
    <row r="33" spans="13:20" ht="15.6" x14ac:dyDescent="0.3">
      <c r="M33" s="3" t="s">
        <v>26</v>
      </c>
      <c r="N33" s="4">
        <f>N22+N24</f>
        <v>19000</v>
      </c>
      <c r="O33" s="3"/>
      <c r="P33" s="3"/>
      <c r="Q33" s="3"/>
      <c r="R33" s="3"/>
      <c r="S33" s="3"/>
      <c r="T33" s="3"/>
    </row>
    <row r="34" spans="13:20" ht="15.6" x14ac:dyDescent="0.3">
      <c r="M34" s="3" t="s">
        <v>27</v>
      </c>
      <c r="N34" s="4">
        <f>SUM(N29:N33)</f>
        <v>252770.84444444443</v>
      </c>
      <c r="O34" s="3"/>
      <c r="P34" s="3"/>
      <c r="Q34" s="3"/>
      <c r="R34" s="3"/>
      <c r="S34" s="3"/>
      <c r="T34" s="3"/>
    </row>
    <row r="35" spans="13:20" ht="15.6" x14ac:dyDescent="0.3">
      <c r="M35" s="3" t="s">
        <v>54</v>
      </c>
      <c r="N35" s="4">
        <f>N32+N33+N31</f>
        <v>66568.444444444438</v>
      </c>
      <c r="O35" s="3"/>
      <c r="P35" s="3"/>
      <c r="Q35" s="3"/>
      <c r="R35" s="3"/>
      <c r="S35" s="3"/>
      <c r="T35" s="3"/>
    </row>
    <row r="36" spans="13:20" ht="15.6" x14ac:dyDescent="0.3">
      <c r="M36" s="3" t="s">
        <v>55</v>
      </c>
      <c r="N36" s="4">
        <f>N29+N30</f>
        <v>186202.4</v>
      </c>
      <c r="O36" s="3"/>
      <c r="P36" s="3"/>
      <c r="Q36" s="3"/>
      <c r="R36" s="3"/>
      <c r="S36" s="3"/>
      <c r="T36" s="3"/>
    </row>
    <row r="37" spans="13:20" ht="15.6" x14ac:dyDescent="0.3">
      <c r="M37" s="3"/>
      <c r="N37" s="4"/>
      <c r="O37" s="3"/>
      <c r="P37" s="3"/>
      <c r="Q37" s="3"/>
      <c r="R37" s="3"/>
      <c r="S37" s="3"/>
      <c r="T37" s="3"/>
    </row>
    <row r="38" spans="13:20" ht="15.6" x14ac:dyDescent="0.3">
      <c r="M38" s="3" t="s">
        <v>38</v>
      </c>
      <c r="N38" s="4">
        <f>N34/N26</f>
        <v>16.586013414989793</v>
      </c>
      <c r="O38" s="4">
        <f>O30+O29+((N31+N32+N33)/N26)</f>
        <v>16.586013414989793</v>
      </c>
    </row>
    <row r="39" spans="13:20" ht="15.6" x14ac:dyDescent="0.3">
      <c r="M39" s="3" t="s">
        <v>40</v>
      </c>
      <c r="N39" s="24">
        <v>0.25</v>
      </c>
    </row>
    <row r="40" spans="13:20" ht="15.6" x14ac:dyDescent="0.3">
      <c r="M40" s="3" t="s">
        <v>39</v>
      </c>
      <c r="N40" s="4">
        <f>N38*(1+N39)</f>
        <v>20.732516768737241</v>
      </c>
    </row>
  </sheetData>
  <mergeCells count="27">
    <mergeCell ref="A19:H20"/>
    <mergeCell ref="B23:D23"/>
    <mergeCell ref="B24:D24"/>
    <mergeCell ref="R11:S11"/>
    <mergeCell ref="A15:H15"/>
    <mergeCell ref="A16:H16"/>
    <mergeCell ref="A17:H18"/>
    <mergeCell ref="A10:E10"/>
    <mergeCell ref="F10:G10"/>
    <mergeCell ref="A11:E11"/>
    <mergeCell ref="F11:G11"/>
    <mergeCell ref="A12:E12"/>
    <mergeCell ref="F12:G12"/>
    <mergeCell ref="A7:E7"/>
    <mergeCell ref="F7:G7"/>
    <mergeCell ref="A8:E8"/>
    <mergeCell ref="F8:G8"/>
    <mergeCell ref="A9:E9"/>
    <mergeCell ref="F9:G9"/>
    <mergeCell ref="A3:E3"/>
    <mergeCell ref="F3:G3"/>
    <mergeCell ref="A4:E4"/>
    <mergeCell ref="F4:G4"/>
    <mergeCell ref="A5:E5"/>
    <mergeCell ref="F5:G5"/>
    <mergeCell ref="A6:E6"/>
    <mergeCell ref="F6:G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937EC1-972A-4CE3-82C4-CC65A1808C00}">
  <dimension ref="A1:X30"/>
  <sheetViews>
    <sheetView workbookViewId="0">
      <selection activeCell="X18" sqref="X18"/>
    </sheetView>
  </sheetViews>
  <sheetFormatPr defaultRowHeight="14.4" x14ac:dyDescent="0.3"/>
  <cols>
    <col min="1" max="1" width="19.109375" customWidth="1"/>
    <col min="2" max="2" width="18.33203125" customWidth="1"/>
    <col min="5" max="5" width="14.33203125" customWidth="1"/>
    <col min="6" max="6" width="18.5546875" bestFit="1" customWidth="1"/>
    <col min="7" max="7" width="12.6640625" bestFit="1" customWidth="1"/>
    <col min="8" max="8" width="12.77734375" customWidth="1"/>
    <col min="9" max="9" width="12.6640625" bestFit="1" customWidth="1"/>
  </cols>
  <sheetData>
    <row r="1" spans="1:24" x14ac:dyDescent="0.3">
      <c r="A1" t="s">
        <v>101</v>
      </c>
      <c r="B1" s="51">
        <f>'обратная задача'!F4</f>
        <v>315963.55555555556</v>
      </c>
      <c r="E1" t="s">
        <v>105</v>
      </c>
      <c r="F1" t="s">
        <v>106</v>
      </c>
      <c r="G1" t="s">
        <v>107</v>
      </c>
      <c r="H1" t="s">
        <v>108</v>
      </c>
      <c r="I1" t="s">
        <v>101</v>
      </c>
    </row>
    <row r="2" spans="1:24" x14ac:dyDescent="0.3">
      <c r="A2" t="s">
        <v>102</v>
      </c>
      <c r="B2" s="51">
        <f>'обратная задача'!N34</f>
        <v>252770.84444444443</v>
      </c>
      <c r="E2" s="50">
        <v>0</v>
      </c>
      <c r="F2" s="51">
        <f>B4</f>
        <v>66568.444444444438</v>
      </c>
      <c r="G2" s="51">
        <f>E2*12.09</f>
        <v>0</v>
      </c>
      <c r="H2" s="51">
        <f>F2+G2</f>
        <v>66568.444444444438</v>
      </c>
      <c r="I2" s="51">
        <f>E2*20.73</f>
        <v>0</v>
      </c>
    </row>
    <row r="3" spans="1:24" ht="14.4" customHeight="1" x14ac:dyDescent="0.3">
      <c r="A3" t="s">
        <v>103</v>
      </c>
      <c r="B3" s="51">
        <f>'обратная задача'!N36</f>
        <v>186202.4</v>
      </c>
      <c r="E3" s="50">
        <v>500</v>
      </c>
      <c r="F3" s="51">
        <f>B4</f>
        <v>66568.444444444438</v>
      </c>
      <c r="G3" s="51">
        <f>E3*12.22</f>
        <v>6110</v>
      </c>
      <c r="H3" s="51">
        <f t="shared" ref="H3:H30" si="0">F3+G3</f>
        <v>72678.444444444438</v>
      </c>
      <c r="I3" s="51">
        <f t="shared" ref="I3:I30" si="1">E3*20.73</f>
        <v>10365</v>
      </c>
      <c r="U3" s="35" t="s">
        <v>109</v>
      </c>
      <c r="V3" s="35"/>
      <c r="W3" s="35"/>
      <c r="X3" s="35"/>
    </row>
    <row r="4" spans="1:24" x14ac:dyDescent="0.3">
      <c r="A4" t="s">
        <v>104</v>
      </c>
      <c r="B4" s="51">
        <f>'обратная задача'!N35</f>
        <v>66568.444444444438</v>
      </c>
      <c r="E4" s="50">
        <v>1000</v>
      </c>
      <c r="F4" s="51">
        <f>B4</f>
        <v>66568.444444444438</v>
      </c>
      <c r="G4" s="51">
        <f t="shared" ref="G4:G30" si="2">E4*12.22</f>
        <v>12220</v>
      </c>
      <c r="H4" s="51">
        <f t="shared" si="0"/>
        <v>78788.444444444438</v>
      </c>
      <c r="I4" s="51">
        <f t="shared" si="1"/>
        <v>20730</v>
      </c>
      <c r="U4" s="35"/>
      <c r="V4" s="35"/>
      <c r="W4" s="35"/>
      <c r="X4" s="35"/>
    </row>
    <row r="5" spans="1:24" x14ac:dyDescent="0.3">
      <c r="A5" t="s">
        <v>10</v>
      </c>
      <c r="B5" s="51">
        <f>'обратная задача'!N40</f>
        <v>20.732516768737241</v>
      </c>
      <c r="E5" s="50">
        <v>1500</v>
      </c>
      <c r="F5" s="51">
        <f>B4</f>
        <v>66568.444444444438</v>
      </c>
      <c r="G5" s="51">
        <f t="shared" si="2"/>
        <v>18330</v>
      </c>
      <c r="H5" s="51">
        <f t="shared" si="0"/>
        <v>84898.444444444438</v>
      </c>
      <c r="I5" s="51">
        <f t="shared" si="1"/>
        <v>31095</v>
      </c>
      <c r="U5" s="35"/>
      <c r="V5" s="35"/>
      <c r="W5" s="35"/>
      <c r="X5" s="35"/>
    </row>
    <row r="6" spans="1:24" x14ac:dyDescent="0.3">
      <c r="E6" s="50">
        <v>2000</v>
      </c>
      <c r="F6" s="51">
        <f>B4</f>
        <v>66568.444444444438</v>
      </c>
      <c r="G6" s="51">
        <f t="shared" si="2"/>
        <v>24440</v>
      </c>
      <c r="H6" s="51">
        <f t="shared" si="0"/>
        <v>91008.444444444438</v>
      </c>
      <c r="I6" s="51">
        <f t="shared" si="1"/>
        <v>41460</v>
      </c>
      <c r="U6" s="35"/>
      <c r="V6" s="35"/>
      <c r="W6" s="35"/>
      <c r="X6" s="35"/>
    </row>
    <row r="7" spans="1:24" x14ac:dyDescent="0.3">
      <c r="E7" s="50">
        <v>2500</v>
      </c>
      <c r="F7" s="51">
        <f>B4</f>
        <v>66568.444444444438</v>
      </c>
      <c r="G7" s="51">
        <f t="shared" si="2"/>
        <v>30550</v>
      </c>
      <c r="H7" s="51">
        <f t="shared" si="0"/>
        <v>97118.444444444438</v>
      </c>
      <c r="I7" s="51">
        <f t="shared" si="1"/>
        <v>51825</v>
      </c>
      <c r="U7" s="35"/>
      <c r="V7" s="35"/>
      <c r="W7" s="35"/>
      <c r="X7" s="35"/>
    </row>
    <row r="8" spans="1:24" x14ac:dyDescent="0.3">
      <c r="E8" s="50">
        <v>3000</v>
      </c>
      <c r="F8" s="51">
        <f>B4</f>
        <v>66568.444444444438</v>
      </c>
      <c r="G8" s="51">
        <f t="shared" si="2"/>
        <v>36660</v>
      </c>
      <c r="H8" s="51">
        <f t="shared" si="0"/>
        <v>103228.44444444444</v>
      </c>
      <c r="I8" s="51">
        <f t="shared" si="1"/>
        <v>62190</v>
      </c>
      <c r="U8" s="35"/>
      <c r="V8" s="35"/>
      <c r="W8" s="35"/>
      <c r="X8" s="35"/>
    </row>
    <row r="9" spans="1:24" x14ac:dyDescent="0.3">
      <c r="E9" s="50">
        <v>3500</v>
      </c>
      <c r="F9" s="51">
        <f>B4</f>
        <v>66568.444444444438</v>
      </c>
      <c r="G9" s="51">
        <f t="shared" si="2"/>
        <v>42770</v>
      </c>
      <c r="H9" s="51">
        <f t="shared" si="0"/>
        <v>109338.44444444444</v>
      </c>
      <c r="I9" s="51">
        <f t="shared" si="1"/>
        <v>72555</v>
      </c>
      <c r="U9" s="35"/>
      <c r="V9" s="35"/>
      <c r="W9" s="35"/>
      <c r="X9" s="35"/>
    </row>
    <row r="10" spans="1:24" x14ac:dyDescent="0.3">
      <c r="E10" s="50">
        <v>4000</v>
      </c>
      <c r="F10" s="51">
        <f>B4</f>
        <v>66568.444444444438</v>
      </c>
      <c r="G10" s="51">
        <f t="shared" si="2"/>
        <v>48880</v>
      </c>
      <c r="H10" s="51">
        <f t="shared" si="0"/>
        <v>115448.44444444444</v>
      </c>
      <c r="I10" s="51">
        <f t="shared" si="1"/>
        <v>82920</v>
      </c>
    </row>
    <row r="11" spans="1:24" x14ac:dyDescent="0.3">
      <c r="E11" s="50">
        <v>4500</v>
      </c>
      <c r="F11" s="51">
        <f>B4</f>
        <v>66568.444444444438</v>
      </c>
      <c r="G11" s="51">
        <f t="shared" si="2"/>
        <v>54990</v>
      </c>
      <c r="H11" s="51">
        <f t="shared" si="0"/>
        <v>121558.44444444444</v>
      </c>
      <c r="I11" s="51">
        <f t="shared" si="1"/>
        <v>93285</v>
      </c>
    </row>
    <row r="12" spans="1:24" x14ac:dyDescent="0.3">
      <c r="E12" s="50">
        <v>5000</v>
      </c>
      <c r="F12" s="51">
        <f>B4</f>
        <v>66568.444444444438</v>
      </c>
      <c r="G12" s="51">
        <f t="shared" si="2"/>
        <v>61100</v>
      </c>
      <c r="H12" s="51">
        <f t="shared" si="0"/>
        <v>127668.44444444444</v>
      </c>
      <c r="I12" s="51">
        <f t="shared" si="1"/>
        <v>103650</v>
      </c>
    </row>
    <row r="13" spans="1:24" x14ac:dyDescent="0.3">
      <c r="E13" s="50">
        <v>5500</v>
      </c>
      <c r="F13" s="51">
        <f>B4</f>
        <v>66568.444444444438</v>
      </c>
      <c r="G13" s="51">
        <f t="shared" si="2"/>
        <v>67210</v>
      </c>
      <c r="H13" s="51">
        <f t="shared" si="0"/>
        <v>133778.44444444444</v>
      </c>
      <c r="I13" s="51">
        <f t="shared" si="1"/>
        <v>114015</v>
      </c>
    </row>
    <row r="14" spans="1:24" x14ac:dyDescent="0.3">
      <c r="E14" s="50">
        <v>6000</v>
      </c>
      <c r="F14" s="51">
        <f>B4</f>
        <v>66568.444444444438</v>
      </c>
      <c r="G14" s="51">
        <f t="shared" si="2"/>
        <v>73320</v>
      </c>
      <c r="H14" s="51">
        <f t="shared" si="0"/>
        <v>139888.44444444444</v>
      </c>
      <c r="I14" s="51">
        <f t="shared" si="1"/>
        <v>124380</v>
      </c>
    </row>
    <row r="15" spans="1:24" x14ac:dyDescent="0.3">
      <c r="E15" s="50">
        <v>6500</v>
      </c>
      <c r="F15" s="51">
        <f>B4</f>
        <v>66568.444444444438</v>
      </c>
      <c r="G15" s="51">
        <f t="shared" si="2"/>
        <v>79430</v>
      </c>
      <c r="H15" s="51">
        <f t="shared" si="0"/>
        <v>145998.44444444444</v>
      </c>
      <c r="I15" s="51">
        <f t="shared" si="1"/>
        <v>134745</v>
      </c>
    </row>
    <row r="16" spans="1:24" x14ac:dyDescent="0.3">
      <c r="E16" s="50">
        <v>7500</v>
      </c>
      <c r="F16" s="51">
        <f>B4</f>
        <v>66568.444444444438</v>
      </c>
      <c r="G16" s="51">
        <f t="shared" si="2"/>
        <v>91650</v>
      </c>
      <c r="H16" s="51">
        <f t="shared" si="0"/>
        <v>158218.44444444444</v>
      </c>
      <c r="I16" s="51">
        <f t="shared" si="1"/>
        <v>155475</v>
      </c>
    </row>
    <row r="17" spans="5:9" x14ac:dyDescent="0.3">
      <c r="E17" s="50">
        <v>8000</v>
      </c>
      <c r="F17" s="51">
        <f>B4</f>
        <v>66568.444444444438</v>
      </c>
      <c r="G17" s="51">
        <f t="shared" si="2"/>
        <v>97760</v>
      </c>
      <c r="H17" s="51">
        <f t="shared" si="0"/>
        <v>164328.44444444444</v>
      </c>
      <c r="I17" s="51">
        <f t="shared" si="1"/>
        <v>165840</v>
      </c>
    </row>
    <row r="18" spans="5:9" x14ac:dyDescent="0.3">
      <c r="E18" s="50">
        <v>8500</v>
      </c>
      <c r="F18" s="51">
        <f>B4</f>
        <v>66568.444444444438</v>
      </c>
      <c r="G18" s="51">
        <f t="shared" si="2"/>
        <v>103870</v>
      </c>
      <c r="H18" s="51">
        <f t="shared" si="0"/>
        <v>170438.44444444444</v>
      </c>
      <c r="I18" s="51">
        <f t="shared" si="1"/>
        <v>176205</v>
      </c>
    </row>
    <row r="19" spans="5:9" x14ac:dyDescent="0.3">
      <c r="E19" s="50">
        <v>9000</v>
      </c>
      <c r="F19" s="51">
        <f>B4</f>
        <v>66568.444444444438</v>
      </c>
      <c r="G19" s="51">
        <f t="shared" si="2"/>
        <v>109980</v>
      </c>
      <c r="H19" s="51">
        <f t="shared" si="0"/>
        <v>176548.44444444444</v>
      </c>
      <c r="I19" s="51">
        <f t="shared" si="1"/>
        <v>186570</v>
      </c>
    </row>
    <row r="20" spans="5:9" x14ac:dyDescent="0.3">
      <c r="E20" s="50">
        <v>9500</v>
      </c>
      <c r="F20" s="51">
        <f>B4</f>
        <v>66568.444444444438</v>
      </c>
      <c r="G20" s="51">
        <f t="shared" si="2"/>
        <v>116090</v>
      </c>
      <c r="H20" s="51">
        <f t="shared" si="0"/>
        <v>182658.44444444444</v>
      </c>
      <c r="I20" s="51">
        <f t="shared" si="1"/>
        <v>196935</v>
      </c>
    </row>
    <row r="21" spans="5:9" x14ac:dyDescent="0.3">
      <c r="E21" s="50">
        <v>10000</v>
      </c>
      <c r="F21" s="51">
        <f>B4</f>
        <v>66568.444444444438</v>
      </c>
      <c r="G21" s="51">
        <f t="shared" si="2"/>
        <v>122200</v>
      </c>
      <c r="H21" s="51">
        <f t="shared" si="0"/>
        <v>188768.44444444444</v>
      </c>
      <c r="I21" s="51">
        <f t="shared" si="1"/>
        <v>207300</v>
      </c>
    </row>
    <row r="22" spans="5:9" x14ac:dyDescent="0.3">
      <c r="E22" s="50">
        <v>10500</v>
      </c>
      <c r="F22" s="51">
        <f>B4</f>
        <v>66568.444444444438</v>
      </c>
      <c r="G22" s="51">
        <f t="shared" si="2"/>
        <v>128310</v>
      </c>
      <c r="H22" s="51">
        <f t="shared" si="0"/>
        <v>194878.44444444444</v>
      </c>
      <c r="I22" s="51">
        <f t="shared" si="1"/>
        <v>217665</v>
      </c>
    </row>
    <row r="23" spans="5:9" x14ac:dyDescent="0.3">
      <c r="E23" s="50">
        <v>11000</v>
      </c>
      <c r="F23" s="51">
        <f>B4</f>
        <v>66568.444444444438</v>
      </c>
      <c r="G23" s="51">
        <f t="shared" si="2"/>
        <v>134420</v>
      </c>
      <c r="H23" s="51">
        <f t="shared" si="0"/>
        <v>200988.44444444444</v>
      </c>
      <c r="I23" s="51">
        <f t="shared" si="1"/>
        <v>228030</v>
      </c>
    </row>
    <row r="24" spans="5:9" x14ac:dyDescent="0.3">
      <c r="E24" s="50">
        <v>12000</v>
      </c>
      <c r="F24" s="51">
        <f>B4</f>
        <v>66568.444444444438</v>
      </c>
      <c r="G24" s="51">
        <f t="shared" si="2"/>
        <v>146640</v>
      </c>
      <c r="H24" s="51">
        <f t="shared" si="0"/>
        <v>213208.44444444444</v>
      </c>
      <c r="I24" s="51">
        <f t="shared" si="1"/>
        <v>248760</v>
      </c>
    </row>
    <row r="25" spans="5:9" x14ac:dyDescent="0.3">
      <c r="E25" s="50">
        <v>12500</v>
      </c>
      <c r="F25" s="51">
        <f>B4</f>
        <v>66568.444444444438</v>
      </c>
      <c r="G25" s="51">
        <f t="shared" si="2"/>
        <v>152750</v>
      </c>
      <c r="H25" s="51">
        <f t="shared" si="0"/>
        <v>219318.44444444444</v>
      </c>
      <c r="I25" s="51">
        <f t="shared" si="1"/>
        <v>259125</v>
      </c>
    </row>
    <row r="26" spans="5:9" x14ac:dyDescent="0.3">
      <c r="E26" s="50">
        <v>13000</v>
      </c>
      <c r="F26" s="51">
        <f>B4</f>
        <v>66568.444444444438</v>
      </c>
      <c r="G26" s="51">
        <f t="shared" si="2"/>
        <v>158860</v>
      </c>
      <c r="H26" s="51">
        <f t="shared" si="0"/>
        <v>225428.44444444444</v>
      </c>
      <c r="I26" s="51">
        <f t="shared" si="1"/>
        <v>269490</v>
      </c>
    </row>
    <row r="27" spans="5:9" x14ac:dyDescent="0.3">
      <c r="E27" s="50">
        <v>13500</v>
      </c>
      <c r="F27" s="51">
        <f>B4</f>
        <v>66568.444444444438</v>
      </c>
      <c r="G27" s="51">
        <f t="shared" si="2"/>
        <v>164970</v>
      </c>
      <c r="H27" s="51">
        <f t="shared" si="0"/>
        <v>231538.44444444444</v>
      </c>
      <c r="I27" s="51">
        <f t="shared" si="1"/>
        <v>279855</v>
      </c>
    </row>
    <row r="28" spans="5:9" x14ac:dyDescent="0.3">
      <c r="E28" s="50">
        <v>14000</v>
      </c>
      <c r="F28" s="51">
        <f>B4</f>
        <v>66568.444444444438</v>
      </c>
      <c r="G28" s="51">
        <f t="shared" si="2"/>
        <v>171080</v>
      </c>
      <c r="H28" s="51">
        <f t="shared" si="0"/>
        <v>237648.44444444444</v>
      </c>
      <c r="I28" s="51">
        <f t="shared" si="1"/>
        <v>290220</v>
      </c>
    </row>
    <row r="29" spans="5:9" x14ac:dyDescent="0.3">
      <c r="E29" s="50">
        <v>14500</v>
      </c>
      <c r="F29" s="51">
        <f>B4</f>
        <v>66568.444444444438</v>
      </c>
      <c r="G29" s="51">
        <f t="shared" si="2"/>
        <v>177190</v>
      </c>
      <c r="H29" s="51">
        <f t="shared" si="0"/>
        <v>243758.44444444444</v>
      </c>
      <c r="I29" s="51">
        <f t="shared" si="1"/>
        <v>300585</v>
      </c>
    </row>
    <row r="30" spans="5:9" x14ac:dyDescent="0.3">
      <c r="E30" s="50">
        <v>15000</v>
      </c>
      <c r="F30" s="51">
        <f>B4</f>
        <v>66568.444444444438</v>
      </c>
      <c r="G30" s="51">
        <f t="shared" si="2"/>
        <v>183300</v>
      </c>
      <c r="H30" s="51">
        <f t="shared" si="0"/>
        <v>249868.44444444444</v>
      </c>
      <c r="I30" s="51">
        <f t="shared" si="1"/>
        <v>310950</v>
      </c>
    </row>
  </sheetData>
  <mergeCells count="1">
    <mergeCell ref="U3:X9"/>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7E5B5-5F45-41DB-905E-A3008A3B701B}">
  <dimension ref="A1:R16"/>
  <sheetViews>
    <sheetView workbookViewId="0">
      <selection activeCell="K42" sqref="K42"/>
    </sheetView>
  </sheetViews>
  <sheetFormatPr defaultRowHeight="14.4" x14ac:dyDescent="0.3"/>
  <cols>
    <col min="1" max="1" width="37.21875" customWidth="1"/>
    <col min="4" max="4" width="16.109375" customWidth="1"/>
    <col min="15" max="15" width="37.33203125" customWidth="1"/>
    <col min="16" max="16" width="16.5546875" customWidth="1"/>
  </cols>
  <sheetData>
    <row r="1" spans="1:18" x14ac:dyDescent="0.3">
      <c r="A1" s="34" t="s">
        <v>67</v>
      </c>
      <c r="B1" s="34"/>
      <c r="C1" s="34"/>
      <c r="D1" s="34"/>
      <c r="E1" s="34"/>
      <c r="F1" s="34"/>
      <c r="G1" s="34"/>
    </row>
    <row r="2" spans="1:18" ht="54.6" customHeight="1" x14ac:dyDescent="0.3">
      <c r="A2" s="34"/>
      <c r="B2" s="34"/>
      <c r="C2" s="34"/>
      <c r="D2" s="34"/>
      <c r="E2" s="34"/>
      <c r="F2" s="34"/>
      <c r="G2" s="34"/>
    </row>
    <row r="3" spans="1:18" x14ac:dyDescent="0.3">
      <c r="A3" s="1" t="s">
        <v>85</v>
      </c>
      <c r="B3" s="1" t="s">
        <v>68</v>
      </c>
      <c r="C3" s="1"/>
      <c r="D3" s="1"/>
      <c r="O3" s="1" t="s">
        <v>86</v>
      </c>
      <c r="P3" s="31" t="s">
        <v>68</v>
      </c>
      <c r="Q3" s="45"/>
      <c r="R3" s="32"/>
    </row>
    <row r="4" spans="1:18" x14ac:dyDescent="0.3">
      <c r="A4" s="41">
        <v>0.13</v>
      </c>
      <c r="B4" s="1" t="s">
        <v>69</v>
      </c>
      <c r="C4" s="1"/>
      <c r="D4" s="1"/>
      <c r="O4" s="41">
        <v>0.13</v>
      </c>
      <c r="P4" s="1" t="s">
        <v>69</v>
      </c>
      <c r="Q4" s="1"/>
      <c r="R4" s="1"/>
    </row>
    <row r="5" spans="1:18" x14ac:dyDescent="0.3">
      <c r="A5" s="42">
        <v>-375000</v>
      </c>
      <c r="B5" s="1" t="s">
        <v>70</v>
      </c>
      <c r="C5" s="1"/>
      <c r="D5" s="1"/>
      <c r="O5" s="42">
        <v>-375000</v>
      </c>
      <c r="P5" s="1" t="s">
        <v>70</v>
      </c>
      <c r="Q5" s="1"/>
      <c r="R5" s="1"/>
    </row>
    <row r="6" spans="1:18" x14ac:dyDescent="0.3">
      <c r="A6" s="42">
        <v>169340.4</v>
      </c>
      <c r="B6" s="1" t="s">
        <v>71</v>
      </c>
      <c r="C6" s="1"/>
      <c r="D6" s="1"/>
      <c r="O6" s="42">
        <v>169340.4</v>
      </c>
      <c r="P6" s="31" t="s">
        <v>71</v>
      </c>
      <c r="Q6" s="45"/>
      <c r="R6" s="32"/>
    </row>
    <row r="7" spans="1:18" x14ac:dyDescent="0.3">
      <c r="A7" s="42">
        <v>169340.4</v>
      </c>
      <c r="B7" s="1" t="s">
        <v>72</v>
      </c>
      <c r="C7" s="1"/>
      <c r="D7" s="1"/>
      <c r="O7" s="42">
        <v>606650.04</v>
      </c>
      <c r="P7" s="31" t="s">
        <v>72</v>
      </c>
      <c r="Q7" s="45"/>
      <c r="R7" s="32"/>
    </row>
    <row r="8" spans="1:18" x14ac:dyDescent="0.3">
      <c r="A8" s="42">
        <v>169340.4</v>
      </c>
      <c r="B8" s="1" t="s">
        <v>74</v>
      </c>
      <c r="C8" s="1"/>
      <c r="D8" s="1"/>
      <c r="O8" s="42">
        <v>606650.04</v>
      </c>
      <c r="P8" s="31" t="s">
        <v>74</v>
      </c>
      <c r="Q8" s="45"/>
      <c r="R8" s="32"/>
    </row>
    <row r="9" spans="1:18" x14ac:dyDescent="0.3">
      <c r="A9" s="43">
        <f>NPV(A4,A5,A6,A7,A8)</f>
        <v>21980.995914432588</v>
      </c>
      <c r="B9" s="1" t="s">
        <v>73</v>
      </c>
      <c r="C9" s="1"/>
      <c r="D9" s="1"/>
      <c r="O9" s="43">
        <f>NPV(O4,O5,O6,O7,O8)</f>
        <v>593268.70488875965</v>
      </c>
      <c r="P9" s="1" t="s">
        <v>73</v>
      </c>
      <c r="Q9" s="1"/>
      <c r="R9" s="1"/>
    </row>
    <row r="10" spans="1:18" x14ac:dyDescent="0.3">
      <c r="A10" s="44">
        <f>A9/(-A5)</f>
        <v>5.8615989105153567E-2</v>
      </c>
      <c r="B10" s="31" t="s">
        <v>75</v>
      </c>
      <c r="C10" s="45"/>
      <c r="D10" s="32"/>
      <c r="O10" s="44">
        <f>O9/(-O5)</f>
        <v>1.5820498797033591</v>
      </c>
      <c r="P10" s="31" t="s">
        <v>75</v>
      </c>
      <c r="Q10" s="45"/>
      <c r="R10" s="32"/>
    </row>
    <row r="11" spans="1:18" x14ac:dyDescent="0.3">
      <c r="A11" s="41">
        <f>IRR(A5:A8)</f>
        <v>0.16863686124671839</v>
      </c>
      <c r="B11" s="1" t="s">
        <v>92</v>
      </c>
      <c r="C11" s="1"/>
      <c r="D11" s="1"/>
      <c r="O11" s="41">
        <f>IRR(O5:O8)</f>
        <v>0.82436503676012318</v>
      </c>
      <c r="P11" s="31" t="s">
        <v>92</v>
      </c>
      <c r="Q11" s="45"/>
      <c r="R11" s="32"/>
    </row>
    <row r="12" spans="1:18" x14ac:dyDescent="0.3">
      <c r="A12" s="50">
        <f>2+A16</f>
        <v>2.8533233571444176</v>
      </c>
      <c r="B12" s="27" t="s">
        <v>97</v>
      </c>
      <c r="C12" s="27"/>
      <c r="D12" s="27"/>
      <c r="O12" s="50">
        <f>1+O16</f>
        <v>1.5879754201342713</v>
      </c>
      <c r="P12" s="27" t="s">
        <v>93</v>
      </c>
      <c r="Q12" s="27"/>
      <c r="R12" s="27"/>
    </row>
    <row r="13" spans="1:18" x14ac:dyDescent="0.3">
      <c r="A13" s="36">
        <f>A6/(1+0.13)</f>
        <v>149858.76106194692</v>
      </c>
      <c r="B13" s="49" t="s">
        <v>94</v>
      </c>
      <c r="O13" s="36">
        <f>O6/(1+0.13)</f>
        <v>149858.76106194692</v>
      </c>
      <c r="P13" s="49" t="s">
        <v>94</v>
      </c>
    </row>
    <row r="14" spans="1:18" x14ac:dyDescent="0.3">
      <c r="A14" s="36">
        <f>A7/(1.2769)</f>
        <v>132618.37262119196</v>
      </c>
      <c r="B14" s="49" t="s">
        <v>95</v>
      </c>
      <c r="O14" s="36">
        <f>O7/(1.2769)</f>
        <v>475095.96679458069</v>
      </c>
      <c r="P14" s="49" t="s">
        <v>95</v>
      </c>
    </row>
    <row r="15" spans="1:18" x14ac:dyDescent="0.3">
      <c r="A15" s="36">
        <f>A8/(1.4429)</f>
        <v>117361.14768868251</v>
      </c>
      <c r="B15" s="49" t="s">
        <v>95</v>
      </c>
    </row>
    <row r="16" spans="1:18" x14ac:dyDescent="0.3">
      <c r="A16">
        <f>(1-((A13+A14+A15)+A5)/A8)</f>
        <v>0.85332335714441787</v>
      </c>
      <c r="B16" s="49" t="s">
        <v>96</v>
      </c>
      <c r="O16">
        <f>(1-((O13+O14)+O5)/O7)</f>
        <v>0.58797542013427129</v>
      </c>
      <c r="P16" s="49" t="s">
        <v>96</v>
      </c>
    </row>
  </sheetData>
  <mergeCells count="10">
    <mergeCell ref="P11:R11"/>
    <mergeCell ref="B10:D10"/>
    <mergeCell ref="B12:D12"/>
    <mergeCell ref="P12:R12"/>
    <mergeCell ref="A1:G2"/>
    <mergeCell ref="P3:R3"/>
    <mergeCell ref="P6:R6"/>
    <mergeCell ref="P7:R7"/>
    <mergeCell ref="P8:R8"/>
    <mergeCell ref="P10:R10"/>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8A5AA-DDEE-4402-BDB6-23E56E97984F}">
  <dimension ref="A1:C26"/>
  <sheetViews>
    <sheetView workbookViewId="0">
      <selection activeCell="A27" sqref="A27"/>
    </sheetView>
  </sheetViews>
  <sheetFormatPr defaultRowHeight="14.4" x14ac:dyDescent="0.3"/>
  <cols>
    <col min="1" max="1" width="17" customWidth="1"/>
    <col min="2" max="2" width="30.33203125" customWidth="1"/>
    <col min="3" max="3" width="19.88671875" customWidth="1"/>
  </cols>
  <sheetData>
    <row r="1" spans="1:3" ht="27" thickBot="1" x14ac:dyDescent="0.35">
      <c r="A1" s="37" t="s">
        <v>76</v>
      </c>
      <c r="B1" s="38" t="s">
        <v>100</v>
      </c>
      <c r="C1" s="38" t="s">
        <v>77</v>
      </c>
    </row>
    <row r="2" spans="1:3" ht="27" thickBot="1" x14ac:dyDescent="0.35">
      <c r="A2" s="39" t="s">
        <v>78</v>
      </c>
      <c r="B2" s="40">
        <v>17.37</v>
      </c>
      <c r="C2" s="40">
        <v>16.59</v>
      </c>
    </row>
    <row r="3" spans="1:3" ht="15" thickBot="1" x14ac:dyDescent="0.35">
      <c r="A3" s="39" t="s">
        <v>87</v>
      </c>
      <c r="B3" s="40">
        <v>19.11</v>
      </c>
      <c r="C3" s="40">
        <v>20.73</v>
      </c>
    </row>
    <row r="4" spans="1:3" ht="27" thickBot="1" x14ac:dyDescent="0.35">
      <c r="A4" s="39" t="s">
        <v>88</v>
      </c>
      <c r="B4" s="40">
        <v>14119.2</v>
      </c>
      <c r="C4" s="40">
        <v>50554.17</v>
      </c>
    </row>
    <row r="5" spans="1:3" ht="27" thickBot="1" x14ac:dyDescent="0.35">
      <c r="A5" s="39" t="s">
        <v>79</v>
      </c>
      <c r="B5" s="46">
        <v>0.1</v>
      </c>
      <c r="C5" s="46">
        <v>0.25</v>
      </c>
    </row>
    <row r="6" spans="1:3" ht="27" thickBot="1" x14ac:dyDescent="0.35">
      <c r="A6" s="39" t="s">
        <v>51</v>
      </c>
      <c r="B6" s="40">
        <v>7644</v>
      </c>
      <c r="C6" s="40">
        <v>7818</v>
      </c>
    </row>
    <row r="7" spans="1:3" ht="15" thickBot="1" x14ac:dyDescent="0.35">
      <c r="A7" s="39" t="s">
        <v>80</v>
      </c>
      <c r="B7" s="40">
        <v>21981</v>
      </c>
      <c r="C7" s="40">
        <v>593268.69999999995</v>
      </c>
    </row>
    <row r="8" spans="1:3" ht="15" thickBot="1" x14ac:dyDescent="0.35">
      <c r="A8" s="39" t="s">
        <v>81</v>
      </c>
      <c r="B8" s="48">
        <v>5.8599999999999999E-2</v>
      </c>
      <c r="C8" s="48">
        <v>1.5820000000000001</v>
      </c>
    </row>
    <row r="9" spans="1:3" ht="15" thickBot="1" x14ac:dyDescent="0.35">
      <c r="A9" s="39" t="s">
        <v>82</v>
      </c>
      <c r="B9" s="46">
        <v>0.17</v>
      </c>
      <c r="C9" s="46">
        <v>0.82</v>
      </c>
    </row>
    <row r="10" spans="1:3" ht="53.4" thickBot="1" x14ac:dyDescent="0.35">
      <c r="A10" s="39" t="s">
        <v>83</v>
      </c>
      <c r="B10" s="40" t="s">
        <v>98</v>
      </c>
      <c r="C10" s="40" t="s">
        <v>99</v>
      </c>
    </row>
    <row r="11" spans="1:3" ht="53.4" thickBot="1" x14ac:dyDescent="0.35">
      <c r="A11" s="39" t="s">
        <v>84</v>
      </c>
      <c r="B11" s="40" t="s">
        <v>91</v>
      </c>
      <c r="C11" s="40" t="s">
        <v>90</v>
      </c>
    </row>
    <row r="13" spans="1:3" x14ac:dyDescent="0.3">
      <c r="A13" s="52" t="s">
        <v>110</v>
      </c>
      <c r="B13" s="52"/>
      <c r="C13" s="52"/>
    </row>
    <row r="14" spans="1:3" x14ac:dyDescent="0.3">
      <c r="A14" s="52"/>
      <c r="B14" s="52"/>
      <c r="C14" s="52"/>
    </row>
    <row r="15" spans="1:3" x14ac:dyDescent="0.3">
      <c r="A15" s="52"/>
      <c r="B15" s="52"/>
      <c r="C15" s="52"/>
    </row>
    <row r="16" spans="1:3" x14ac:dyDescent="0.3">
      <c r="A16" s="52"/>
      <c r="B16" s="52"/>
      <c r="C16" s="52"/>
    </row>
    <row r="17" spans="1:3" x14ac:dyDescent="0.3">
      <c r="A17" s="52"/>
      <c r="B17" s="52"/>
      <c r="C17" s="52"/>
    </row>
    <row r="18" spans="1:3" x14ac:dyDescent="0.3">
      <c r="A18" s="52"/>
      <c r="B18" s="52"/>
      <c r="C18" s="52"/>
    </row>
    <row r="19" spans="1:3" x14ac:dyDescent="0.3">
      <c r="A19" s="52"/>
      <c r="B19" s="52"/>
      <c r="C19" s="52"/>
    </row>
    <row r="20" spans="1:3" x14ac:dyDescent="0.3">
      <c r="A20" s="52"/>
      <c r="B20" s="52"/>
      <c r="C20" s="52"/>
    </row>
    <row r="21" spans="1:3" x14ac:dyDescent="0.3">
      <c r="A21" s="52"/>
      <c r="B21" s="52"/>
      <c r="C21" s="52"/>
    </row>
    <row r="22" spans="1:3" x14ac:dyDescent="0.3">
      <c r="A22" s="52"/>
      <c r="B22" s="52"/>
      <c r="C22" s="52"/>
    </row>
    <row r="23" spans="1:3" x14ac:dyDescent="0.3">
      <c r="A23" s="52"/>
      <c r="B23" s="52"/>
      <c r="C23" s="52"/>
    </row>
    <row r="24" spans="1:3" x14ac:dyDescent="0.3">
      <c r="A24" s="52"/>
      <c r="B24" s="52"/>
      <c r="C24" s="52"/>
    </row>
    <row r="25" spans="1:3" x14ac:dyDescent="0.3">
      <c r="A25" s="52"/>
      <c r="B25" s="52"/>
      <c r="C25" s="52"/>
    </row>
    <row r="26" spans="1:3" x14ac:dyDescent="0.3">
      <c r="A26" s="52"/>
      <c r="B26" s="52"/>
      <c r="C26" s="52"/>
    </row>
  </sheetData>
  <mergeCells count="1">
    <mergeCell ref="A13:C2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8</vt:i4>
      </vt:variant>
    </vt:vector>
  </HeadingPairs>
  <TitlesOfParts>
    <vt:vector size="8" baseType="lpstr">
      <vt:lpstr>Вводные данные</vt:lpstr>
      <vt:lpstr>Отчет о прибылях и убытках</vt:lpstr>
      <vt:lpstr>результаты</vt:lpstr>
      <vt:lpstr>график bep для прямой задачи</vt:lpstr>
      <vt:lpstr>обратная задача</vt:lpstr>
      <vt:lpstr>график bep для обратной задач </vt:lpstr>
      <vt:lpstr>расчеты для курсовой работы</vt:lpstr>
      <vt:lpstr>сравнительная таблица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Renat</dc:creator>
  <cp:lastModifiedBy>Renat</cp:lastModifiedBy>
  <dcterms:created xsi:type="dcterms:W3CDTF">2015-06-05T18:19:34Z</dcterms:created>
  <dcterms:modified xsi:type="dcterms:W3CDTF">2020-06-25T20:21:44Z</dcterms:modified>
</cp:coreProperties>
</file>